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210" windowWidth="9135" windowHeight="5100"/>
  </bookViews>
  <sheets>
    <sheet name="IDR-CT" sheetId="11" r:id="rId1"/>
    <sheet name="Prod. Científica" sheetId="2" r:id="rId2"/>
    <sheet name="Doc. Téc, Bolsistas e Eventos" sheetId="3" r:id="rId3"/>
  </sheets>
  <externalReferences>
    <externalReference r:id="rId4"/>
  </externalReferences>
  <definedNames>
    <definedName name="_xlnm._FilterDatabase" localSheetId="1" hidden="1">'Prod. Científica'!$B$4:$Z$45</definedName>
    <definedName name="_xlnm.Print_Area" localSheetId="0">'IDR-CT'!$A$1:$J$53</definedName>
  </definedNames>
  <calcPr calcId="125725"/>
</workbook>
</file>

<file path=xl/calcChain.xml><?xml version="1.0" encoding="utf-8"?>
<calcChain xmlns="http://schemas.openxmlformats.org/spreadsheetml/2006/main">
  <c r="H7" i="3"/>
  <c r="G7"/>
  <c r="F40"/>
  <c r="I44" i="11"/>
  <c r="G44"/>
  <c r="C44"/>
  <c r="B44"/>
  <c r="F43"/>
  <c r="F41"/>
  <c r="F40"/>
  <c r="F39"/>
  <c r="F38"/>
  <c r="F35"/>
  <c r="D35"/>
  <c r="F34"/>
  <c r="D34"/>
  <c r="F33"/>
  <c r="D33"/>
  <c r="F32"/>
  <c r="F31"/>
  <c r="F30"/>
  <c r="F29"/>
  <c r="F27"/>
  <c r="D27"/>
  <c r="F25"/>
  <c r="F24"/>
  <c r="D24"/>
  <c r="D23"/>
  <c r="F22"/>
  <c r="D21"/>
  <c r="F20"/>
  <c r="D18"/>
  <c r="F17"/>
  <c r="E17"/>
  <c r="D16"/>
  <c r="F15"/>
  <c r="F14"/>
  <c r="F13"/>
  <c r="D12"/>
  <c r="F10"/>
  <c r="D9"/>
  <c r="I6"/>
  <c r="J6" s="1"/>
  <c r="R43" i="3"/>
  <c r="Q43"/>
  <c r="P43"/>
  <c r="O43"/>
  <c r="N43"/>
  <c r="M43"/>
  <c r="R42"/>
  <c r="Q42"/>
  <c r="P42"/>
  <c r="O42"/>
  <c r="N42"/>
  <c r="M42"/>
  <c r="R41"/>
  <c r="Q41"/>
  <c r="P41"/>
  <c r="O41"/>
  <c r="N41"/>
  <c r="M41"/>
  <c r="R40"/>
  <c r="Q40"/>
  <c r="P40"/>
  <c r="O40"/>
  <c r="N40"/>
  <c r="M40"/>
  <c r="R39"/>
  <c r="Q39"/>
  <c r="P39"/>
  <c r="O39"/>
  <c r="N39"/>
  <c r="M39"/>
  <c r="R38"/>
  <c r="Q38"/>
  <c r="P38"/>
  <c r="O38"/>
  <c r="N38"/>
  <c r="M38"/>
  <c r="R37"/>
  <c r="Q37"/>
  <c r="P37"/>
  <c r="O37"/>
  <c r="N37"/>
  <c r="M37"/>
  <c r="R36"/>
  <c r="Q36"/>
  <c r="P36"/>
  <c r="O36"/>
  <c r="N36"/>
  <c r="M36"/>
  <c r="R35"/>
  <c r="Q35"/>
  <c r="P35"/>
  <c r="O35"/>
  <c r="N35"/>
  <c r="M35"/>
  <c r="R34"/>
  <c r="Q34"/>
  <c r="P34"/>
  <c r="O34"/>
  <c r="N34"/>
  <c r="M34"/>
  <c r="R33"/>
  <c r="Q33"/>
  <c r="P33"/>
  <c r="O33"/>
  <c r="N33"/>
  <c r="M33"/>
  <c r="R32"/>
  <c r="Q32"/>
  <c r="P32"/>
  <c r="O32"/>
  <c r="N32"/>
  <c r="M32"/>
  <c r="R31"/>
  <c r="Q31"/>
  <c r="P31"/>
  <c r="O31"/>
  <c r="N31"/>
  <c r="M31"/>
  <c r="R30"/>
  <c r="Q30"/>
  <c r="P30"/>
  <c r="O30"/>
  <c r="N30"/>
  <c r="M30"/>
  <c r="R29"/>
  <c r="Q29"/>
  <c r="P29"/>
  <c r="O29"/>
  <c r="N29"/>
  <c r="M29"/>
  <c r="R28"/>
  <c r="Q28"/>
  <c r="P28"/>
  <c r="O28"/>
  <c r="N28"/>
  <c r="M28"/>
  <c r="R27"/>
  <c r="Q27"/>
  <c r="P27"/>
  <c r="O27"/>
  <c r="N27"/>
  <c r="M27"/>
  <c r="R26"/>
  <c r="Q26"/>
  <c r="P26"/>
  <c r="O26"/>
  <c r="N26"/>
  <c r="M26"/>
  <c r="R25"/>
  <c r="Q25"/>
  <c r="P25"/>
  <c r="O25"/>
  <c r="N25"/>
  <c r="M25"/>
  <c r="R24"/>
  <c r="Q24"/>
  <c r="P24"/>
  <c r="O24"/>
  <c r="N24"/>
  <c r="M24"/>
  <c r="R23"/>
  <c r="Q23"/>
  <c r="P23"/>
  <c r="O23"/>
  <c r="N23"/>
  <c r="M23"/>
  <c r="R22"/>
  <c r="Q22"/>
  <c r="P22"/>
  <c r="O22"/>
  <c r="N22"/>
  <c r="M22"/>
  <c r="R21"/>
  <c r="Q21"/>
  <c r="P21"/>
  <c r="O21"/>
  <c r="N21"/>
  <c r="M21"/>
  <c r="R20"/>
  <c r="Q20"/>
  <c r="P20"/>
  <c r="O20"/>
  <c r="N20"/>
  <c r="M20"/>
  <c r="R19"/>
  <c r="Q19"/>
  <c r="P19"/>
  <c r="O19"/>
  <c r="N19"/>
  <c r="M19"/>
  <c r="R18"/>
  <c r="Q18"/>
  <c r="P18"/>
  <c r="O18"/>
  <c r="N18"/>
  <c r="M18"/>
  <c r="R17"/>
  <c r="Q17"/>
  <c r="P17"/>
  <c r="O17"/>
  <c r="N17"/>
  <c r="M17"/>
  <c r="R16"/>
  <c r="Q16"/>
  <c r="P16"/>
  <c r="O16"/>
  <c r="N16"/>
  <c r="M16"/>
  <c r="R15"/>
  <c r="Q15"/>
  <c r="P15"/>
  <c r="O15"/>
  <c r="N15"/>
  <c r="M15"/>
  <c r="R14"/>
  <c r="Q14"/>
  <c r="P14"/>
  <c r="O14"/>
  <c r="N14"/>
  <c r="M14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V36" i="2"/>
  <c r="S33"/>
  <c r="Q44" i="3" l="1"/>
  <c r="S6"/>
  <c r="D6" s="1"/>
  <c r="R44"/>
  <c r="S8"/>
  <c r="D8" s="1"/>
  <c r="S16"/>
  <c r="D16" s="1"/>
  <c r="S24"/>
  <c r="D25" s="1"/>
  <c r="S32"/>
  <c r="D37" s="1"/>
  <c r="S40"/>
  <c r="D34" s="1"/>
  <c r="S15"/>
  <c r="S38"/>
  <c r="D19" s="1"/>
  <c r="S39"/>
  <c r="D41" s="1"/>
  <c r="S14"/>
  <c r="D14" s="1"/>
  <c r="S23"/>
  <c r="D24" s="1"/>
  <c r="S31"/>
  <c r="D32" s="1"/>
  <c r="S30"/>
  <c r="D31" s="1"/>
  <c r="O44"/>
  <c r="S9"/>
  <c r="D9" s="1"/>
  <c r="S10"/>
  <c r="D10" s="1"/>
  <c r="S13"/>
  <c r="D13" s="1"/>
  <c r="S18"/>
  <c r="D18" s="1"/>
  <c r="S21"/>
  <c r="D22" s="1"/>
  <c r="S25"/>
  <c r="D26" s="1"/>
  <c r="S26"/>
  <c r="D27" s="1"/>
  <c r="S29"/>
  <c r="D30" s="1"/>
  <c r="S33"/>
  <c r="D35" s="1"/>
  <c r="S34"/>
  <c r="D36" s="1"/>
  <c r="S37"/>
  <c r="D40" s="1"/>
  <c r="S41"/>
  <c r="D33" s="1"/>
  <c r="S42"/>
  <c r="P44"/>
  <c r="S12"/>
  <c r="D12" s="1"/>
  <c r="S20"/>
  <c r="D21" s="1"/>
  <c r="S28"/>
  <c r="D29" s="1"/>
  <c r="S36"/>
  <c r="D38" s="1"/>
  <c r="S11"/>
  <c r="D11" s="1"/>
  <c r="S19"/>
  <c r="D20" s="1"/>
  <c r="S27"/>
  <c r="D28" s="1"/>
  <c r="S35"/>
  <c r="D39" s="1"/>
  <c r="S43"/>
  <c r="D44" i="11"/>
  <c r="S22" i="3"/>
  <c r="D23" s="1"/>
  <c r="S7"/>
  <c r="D7" s="1"/>
  <c r="S17"/>
  <c r="D17" s="1"/>
  <c r="S5"/>
  <c r="E43" i="2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S44" i="3" l="1"/>
  <c r="B25" l="1"/>
  <c r="H42" l="1"/>
  <c r="G42"/>
  <c r="F42"/>
  <c r="B42"/>
  <c r="C42"/>
  <c r="D42"/>
  <c r="F35" i="2"/>
  <c r="F36"/>
  <c r="F37"/>
  <c r="F39"/>
  <c r="F40"/>
  <c r="F41"/>
  <c r="F42"/>
  <c r="F43"/>
  <c r="E44" l="1"/>
  <c r="D44"/>
  <c r="C44"/>
  <c r="I33" i="3"/>
  <c r="I34"/>
  <c r="F36" i="11" s="1"/>
  <c r="I35" i="3"/>
  <c r="F37" i="11" s="1"/>
  <c r="I36" i="3"/>
  <c r="I37"/>
  <c r="I38"/>
  <c r="I39"/>
  <c r="I40"/>
  <c r="F42" i="11" s="1"/>
  <c r="I41" i="3"/>
  <c r="E33"/>
  <c r="E35" i="11" s="1"/>
  <c r="E34" i="3"/>
  <c r="E36" i="11" s="1"/>
  <c r="E35" i="3"/>
  <c r="E37" i="11" s="1"/>
  <c r="E36" i="3"/>
  <c r="E38" i="11" s="1"/>
  <c r="E37" i="3"/>
  <c r="E39" i="11" s="1"/>
  <c r="E38" i="3"/>
  <c r="E40" i="11" s="1"/>
  <c r="E39" i="3"/>
  <c r="E41" i="11" s="1"/>
  <c r="E40" i="3"/>
  <c r="E42" i="11" s="1"/>
  <c r="E41" i="3"/>
  <c r="E43" i="11" s="1"/>
  <c r="E32" i="3" l="1"/>
  <c r="E34" i="11" s="1"/>
  <c r="E31" i="3"/>
  <c r="E33" i="11" s="1"/>
  <c r="E30" i="3"/>
  <c r="E32" i="11" s="1"/>
  <c r="F16" i="2"/>
  <c r="F19"/>
  <c r="F20"/>
  <c r="F21"/>
  <c r="F23"/>
  <c r="F24"/>
  <c r="F25"/>
  <c r="F26"/>
  <c r="F31"/>
  <c r="F33"/>
  <c r="F14"/>
  <c r="F15"/>
  <c r="F22"/>
  <c r="F27"/>
  <c r="F7"/>
  <c r="F8"/>
  <c r="F9"/>
  <c r="F10"/>
  <c r="F11"/>
  <c r="F12"/>
  <c r="F13"/>
  <c r="F17"/>
  <c r="F18"/>
  <c r="F28"/>
  <c r="F29"/>
  <c r="F30"/>
  <c r="F32"/>
  <c r="F34"/>
  <c r="E6" i="3"/>
  <c r="E8" i="11" s="1"/>
  <c r="E7" i="3"/>
  <c r="E9" i="11" s="1"/>
  <c r="E8" i="3"/>
  <c r="E10" i="11" s="1"/>
  <c r="E9" i="3"/>
  <c r="E11" i="11" s="1"/>
  <c r="E10" i="3"/>
  <c r="E12" i="11" s="1"/>
  <c r="E11" i="3"/>
  <c r="E13" i="11" s="1"/>
  <c r="E12" i="3"/>
  <c r="E14" i="11" s="1"/>
  <c r="E13" i="3"/>
  <c r="E15" i="11" s="1"/>
  <c r="E14" i="3"/>
  <c r="E16" i="11" s="1"/>
  <c r="E16" i="3"/>
  <c r="E18" i="11" s="1"/>
  <c r="E17" i="3"/>
  <c r="E19" i="11" s="1"/>
  <c r="E18" i="3"/>
  <c r="E20" i="11" s="1"/>
  <c r="E19" i="3"/>
  <c r="E21" i="11" s="1"/>
  <c r="E20" i="3"/>
  <c r="E22" i="11" s="1"/>
  <c r="E21" i="3"/>
  <c r="E23" i="11" s="1"/>
  <c r="E22" i="3"/>
  <c r="E24" i="11" s="1"/>
  <c r="E23" i="3"/>
  <c r="E25" i="11" s="1"/>
  <c r="E24" i="3"/>
  <c r="E26" i="11" s="1"/>
  <c r="E25" i="3"/>
  <c r="E27" i="11" s="1"/>
  <c r="E26" i="3"/>
  <c r="E28" i="11" s="1"/>
  <c r="E27" i="3"/>
  <c r="E29" i="11" s="1"/>
  <c r="E28" i="3"/>
  <c r="E30" i="11" s="1"/>
  <c r="E29" i="3"/>
  <c r="E31" i="11" s="1"/>
  <c r="I32" i="3"/>
  <c r="I6"/>
  <c r="F8" i="11" s="1"/>
  <c r="I7" i="3"/>
  <c r="F9" i="11" s="1"/>
  <c r="I8" i="3"/>
  <c r="I9"/>
  <c r="F11" i="11" s="1"/>
  <c r="I10" i="3"/>
  <c r="F12" i="11" s="1"/>
  <c r="I11" i="3"/>
  <c r="I12"/>
  <c r="I13"/>
  <c r="I14"/>
  <c r="F16" i="11" s="1"/>
  <c r="I16" i="3"/>
  <c r="F18" i="11" s="1"/>
  <c r="I17" i="3"/>
  <c r="F19" i="11" s="1"/>
  <c r="I18" i="3"/>
  <c r="I19"/>
  <c r="F21" i="11" s="1"/>
  <c r="I20" i="3"/>
  <c r="I21"/>
  <c r="F23" i="11" s="1"/>
  <c r="I22" i="3"/>
  <c r="I23"/>
  <c r="I24"/>
  <c r="F26" i="11" s="1"/>
  <c r="I25" i="3"/>
  <c r="I26"/>
  <c r="F28" i="11" s="1"/>
  <c r="I27" i="3"/>
  <c r="I29"/>
  <c r="I30"/>
  <c r="I31"/>
  <c r="E5"/>
  <c r="I5"/>
  <c r="I28"/>
  <c r="F44" i="11" l="1"/>
  <c r="E44"/>
  <c r="F44" i="2"/>
  <c r="G37" s="1"/>
  <c r="H37" s="1"/>
  <c r="H37" i="11" s="1"/>
  <c r="E42" i="3"/>
  <c r="I42"/>
  <c r="J37" i="11" l="1"/>
  <c r="G43" i="2"/>
  <c r="H43" s="1"/>
  <c r="H43" i="11" s="1"/>
  <c r="J43" s="1"/>
  <c r="G36" i="2"/>
  <c r="H36" s="1"/>
  <c r="H36" i="11" s="1"/>
  <c r="J36" s="1"/>
  <c r="G40" i="2"/>
  <c r="H40" s="1"/>
  <c r="H40" i="11" s="1"/>
  <c r="J40" s="1"/>
  <c r="G35" i="2"/>
  <c r="H35" s="1"/>
  <c r="H35" i="11" s="1"/>
  <c r="J35" s="1"/>
  <c r="G44" i="2"/>
  <c r="G39"/>
  <c r="H39" s="1"/>
  <c r="H39" i="11" s="1"/>
  <c r="J39" s="1"/>
  <c r="G30" i="2"/>
  <c r="H30" s="1"/>
  <c r="H30" i="11" s="1"/>
  <c r="J30" s="1"/>
  <c r="G41" i="2"/>
  <c r="H41" s="1"/>
  <c r="H41" i="11" s="1"/>
  <c r="J41" s="1"/>
  <c r="G42" i="2"/>
  <c r="H42" s="1"/>
  <c r="H42" i="11" s="1"/>
  <c r="J42" s="1"/>
  <c r="G38" i="2"/>
  <c r="H38" s="1"/>
  <c r="H38" i="11" s="1"/>
  <c r="J38" s="1"/>
  <c r="G26" i="2"/>
  <c r="H26" s="1"/>
  <c r="H26" i="11" s="1"/>
  <c r="J26" s="1"/>
  <c r="G8" i="2"/>
  <c r="H8" s="1"/>
  <c r="H8" i="11" s="1"/>
  <c r="J8" s="1"/>
  <c r="G24" i="2"/>
  <c r="H24" s="1"/>
  <c r="H24" i="11" s="1"/>
  <c r="J24" s="1"/>
  <c r="G22" i="2"/>
  <c r="H22" s="1"/>
  <c r="H22" i="11" s="1"/>
  <c r="J22" s="1"/>
  <c r="G16" i="2"/>
  <c r="H16" s="1"/>
  <c r="H16" i="11" s="1"/>
  <c r="J16" s="1"/>
  <c r="G33" i="2"/>
  <c r="H33" s="1"/>
  <c r="H33" i="11" s="1"/>
  <c r="J33" s="1"/>
  <c r="G20" i="2"/>
  <c r="H20" s="1"/>
  <c r="H20" i="11" s="1"/>
  <c r="J20" s="1"/>
  <c r="G14" i="2"/>
  <c r="H14" s="1"/>
  <c r="H14" i="11" s="1"/>
  <c r="J14" s="1"/>
  <c r="G23" i="2"/>
  <c r="H23" s="1"/>
  <c r="H23" i="11" s="1"/>
  <c r="J23" s="1"/>
  <c r="G27" i="2"/>
  <c r="H27" s="1"/>
  <c r="H27" i="11" s="1"/>
  <c r="J27" s="1"/>
  <c r="G19" i="2"/>
  <c r="H19" s="1"/>
  <c r="H19" i="11" s="1"/>
  <c r="J19" s="1"/>
  <c r="G31" i="2"/>
  <c r="H31" s="1"/>
  <c r="H31" i="11" s="1"/>
  <c r="J31" s="1"/>
  <c r="G25" i="2"/>
  <c r="H25" s="1"/>
  <c r="H25" i="11" s="1"/>
  <c r="J25" s="1"/>
  <c r="G21" i="2"/>
  <c r="H21" s="1"/>
  <c r="H21" i="11" s="1"/>
  <c r="J21" s="1"/>
  <c r="G15" i="2"/>
  <c r="H15" s="1"/>
  <c r="H15" i="11" s="1"/>
  <c r="J15" s="1"/>
  <c r="G13" i="2"/>
  <c r="H13" s="1"/>
  <c r="H13" i="11" s="1"/>
  <c r="J13" s="1"/>
  <c r="G9" i="2"/>
  <c r="H9" s="1"/>
  <c r="H9" i="11" s="1"/>
  <c r="J9" s="1"/>
  <c r="G29" i="2"/>
  <c r="H29" s="1"/>
  <c r="H29" i="11" s="1"/>
  <c r="J29" s="1"/>
  <c r="G7" i="2"/>
  <c r="H7" s="1"/>
  <c r="H7" i="11" s="1"/>
  <c r="G11" i="2"/>
  <c r="H11" s="1"/>
  <c r="H11" i="11" s="1"/>
  <c r="J11" s="1"/>
  <c r="G18" i="2"/>
  <c r="H18" s="1"/>
  <c r="H18" i="11" s="1"/>
  <c r="J18" s="1"/>
  <c r="G32" i="2"/>
  <c r="H32" s="1"/>
  <c r="H32" i="11" s="1"/>
  <c r="J32" s="1"/>
  <c r="G12" i="2"/>
  <c r="H12" s="1"/>
  <c r="H12" i="11" s="1"/>
  <c r="J12" s="1"/>
  <c r="G28" i="2"/>
  <c r="H28" s="1"/>
  <c r="H28" i="11" s="1"/>
  <c r="J28" s="1"/>
  <c r="G34" i="2"/>
  <c r="H34" s="1"/>
  <c r="H34" i="11" s="1"/>
  <c r="J34" s="1"/>
  <c r="G10" i="2"/>
  <c r="H10" s="1"/>
  <c r="H10" i="11" s="1"/>
  <c r="J10" s="1"/>
  <c r="G17" i="2"/>
  <c r="H17" s="1"/>
  <c r="H17" i="11" s="1"/>
  <c r="J17" s="1"/>
  <c r="H44" l="1"/>
  <c r="J7"/>
  <c r="J44" s="1"/>
  <c r="H44" i="2"/>
</calcChain>
</file>

<file path=xl/sharedStrings.xml><?xml version="1.0" encoding="utf-8"?>
<sst xmlns="http://schemas.openxmlformats.org/spreadsheetml/2006/main" count="176" uniqueCount="101">
  <si>
    <t>ADM/CT</t>
  </si>
  <si>
    <t>CCEC</t>
  </si>
  <si>
    <t>CCEE</t>
  </si>
  <si>
    <t>CCEM</t>
  </si>
  <si>
    <t>CCEQ</t>
  </si>
  <si>
    <t>NAFA</t>
  </si>
  <si>
    <t>LMCC</t>
  </si>
  <si>
    <t>LACESM</t>
  </si>
  <si>
    <t>NUPEDEE</t>
  </si>
  <si>
    <t>DESP</t>
  </si>
  <si>
    <t>DELC</t>
  </si>
  <si>
    <t>CCAU</t>
  </si>
  <si>
    <t>DAU</t>
  </si>
  <si>
    <t>TOTAIS</t>
  </si>
  <si>
    <t>%</t>
  </si>
  <si>
    <t>DEPG</t>
  </si>
  <si>
    <t>DECC</t>
  </si>
  <si>
    <t>DTRP</t>
  </si>
  <si>
    <t>SICT</t>
  </si>
  <si>
    <t>DEQ</t>
  </si>
  <si>
    <t>DEM</t>
  </si>
  <si>
    <t>CCCC</t>
  </si>
  <si>
    <t>PPGEE</t>
  </si>
  <si>
    <t>PPGEP</t>
  </si>
  <si>
    <t>PPGEC</t>
  </si>
  <si>
    <t>DEPS</t>
  </si>
  <si>
    <t>Total</t>
  </si>
  <si>
    <t>Professor</t>
  </si>
  <si>
    <t>Tecnico Administ</t>
  </si>
  <si>
    <t>Bolsistas</t>
  </si>
  <si>
    <t>Peso</t>
  </si>
  <si>
    <t>Sigla</t>
  </si>
  <si>
    <t>Grupo3</t>
  </si>
  <si>
    <t>PESOS</t>
  </si>
  <si>
    <t>Grupo 1</t>
  </si>
  <si>
    <t>DPEE</t>
  </si>
  <si>
    <t>PPGEPr</t>
  </si>
  <si>
    <t>PPGI</t>
  </si>
  <si>
    <t xml:space="preserve"> Subunidade</t>
  </si>
  <si>
    <t xml:space="preserve"> Número de Projetos Registrados</t>
  </si>
  <si>
    <t xml:space="preserve"> Número de Projetos Concluídos</t>
  </si>
  <si>
    <t xml:space="preserve"> Recursos  Proj. Extra-Orçam.</t>
  </si>
  <si>
    <t xml:space="preserve"> Nº de Doc., Tec. Adm.  e Bolsistas c/ fin</t>
  </si>
  <si>
    <t xml:space="preserve"> Promoção de Eventos</t>
  </si>
  <si>
    <t xml:space="preserve"> Nº de Convênios da Subunidade</t>
  </si>
  <si>
    <t xml:space="preserve"> Produção científica conforme IDR</t>
  </si>
  <si>
    <t xml:space="preserve"> % Fixa por Subunidade</t>
  </si>
  <si>
    <t>Evento Local</t>
  </si>
  <si>
    <t>Evento Regional</t>
  </si>
  <si>
    <t>Evento Nacional</t>
  </si>
  <si>
    <t>DESA</t>
  </si>
  <si>
    <t>DECOM</t>
  </si>
  <si>
    <t>DLSC</t>
  </si>
  <si>
    <t>CCEP</t>
  </si>
  <si>
    <t>CCECA</t>
  </si>
  <si>
    <t>CCESA</t>
  </si>
  <si>
    <t>CCEA</t>
  </si>
  <si>
    <t>CCSI</t>
  </si>
  <si>
    <t>CCECO</t>
  </si>
  <si>
    <t>PPGESA</t>
  </si>
  <si>
    <t>PPGEAmb</t>
  </si>
  <si>
    <t>PPGEP (Produção)</t>
  </si>
  <si>
    <t>PPGEPr(Processos)</t>
  </si>
  <si>
    <t>Módulo Complementar</t>
  </si>
  <si>
    <t>Produção Bibliográfica</t>
  </si>
  <si>
    <t>Artigo Publicado - Completo</t>
  </si>
  <si>
    <t>Artigo Publicado - Nota Científica</t>
  </si>
  <si>
    <t>Texto em Revistas (Magazine)</t>
  </si>
  <si>
    <t>Trabalhos em Evento - Completo</t>
  </si>
  <si>
    <t>Trabalhos em Evento - Resumo</t>
  </si>
  <si>
    <t>Produção Técnica</t>
  </si>
  <si>
    <t>Produção Técnica Apresentação - Conferência ou Palestra</t>
  </si>
  <si>
    <t>Software ou Produto</t>
  </si>
  <si>
    <t>Trabalho Técnico - Parecer</t>
  </si>
  <si>
    <t>Trabalho Técnico - Consultoria</t>
  </si>
  <si>
    <t>Trabalho Técnico - Outros</t>
  </si>
  <si>
    <t>Trabalhos em Evento - Resumo Expandido</t>
  </si>
  <si>
    <t>Tradução de Livro</t>
  </si>
  <si>
    <t>Elaboração de Projetos</t>
  </si>
  <si>
    <t>Dissertação de Mestrado de Docente</t>
  </si>
  <si>
    <t>Tese de Doutorado de Docente</t>
  </si>
  <si>
    <t>Organização de Obras e Coletâneas (Livros e Capítulos de Livros)</t>
  </si>
  <si>
    <t>Edição e Organização de Livros</t>
  </si>
  <si>
    <t>Cadernos Didáticos</t>
  </si>
  <si>
    <t>Grupo2</t>
  </si>
  <si>
    <t>TOTALIZADORES</t>
  </si>
  <si>
    <t>Índice Auxiliares</t>
  </si>
  <si>
    <t>RELATÓRIO GERAL 2014</t>
  </si>
  <si>
    <t>Unidade</t>
  </si>
  <si>
    <t>Código da bolsa e fonte de recurso</t>
  </si>
  <si>
    <t>TOTAL</t>
  </si>
  <si>
    <t>Recurso PRAE</t>
  </si>
  <si>
    <t>Recursos CT</t>
  </si>
  <si>
    <t>Cód.</t>
  </si>
  <si>
    <t>1CT - Monit.</t>
  </si>
  <si>
    <t>2 - PRAE</t>
  </si>
  <si>
    <t>2ACT - Rec. CT</t>
  </si>
  <si>
    <t>88CT - Formação</t>
  </si>
  <si>
    <t xml:space="preserve"> Índices válidos para 2015    %</t>
  </si>
  <si>
    <t>Índices de Distribuição de Recursos do Centro de Tecnologia para 2015</t>
  </si>
  <si>
    <t>Produção científica conforme IDR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</si>
</sst>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0.0000"/>
    <numFmt numFmtId="166" formatCode="_(* #,##0.000_);_(* \(#,##0.000\);_(* &quot;-&quot;??_);_(@_)"/>
    <numFmt numFmtId="167" formatCode="#,##0.0000"/>
    <numFmt numFmtId="168" formatCode="0.00000"/>
    <numFmt numFmtId="169" formatCode="_(* #,##0_);_(* \(#,##0\);_(* &quot;-&quot;??_);_(@_)"/>
    <numFmt numFmtId="170" formatCode="0.000"/>
    <numFmt numFmtId="171" formatCode="#,##0.00000_ ;[Red]\-#,##0.00000\ "/>
    <numFmt numFmtId="172" formatCode="_(* #,##0.0000_);_(* \(#,##0.0000\);_(* &quot;-&quot;??_);_(@_)"/>
  </numFmts>
  <fonts count="2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sz val="9"/>
      <name val="Times New Roman"/>
      <family val="1"/>
    </font>
    <font>
      <b/>
      <sz val="9"/>
      <color theme="1"/>
      <name val="Arial"/>
      <family val="2"/>
    </font>
    <font>
      <b/>
      <sz val="9"/>
      <color indexed="50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3" fillId="0" borderId="0" xfId="0" quotePrefix="1" applyFont="1" applyBorder="1" applyAlignment="1">
      <alignment horizontal="center" textRotation="90"/>
    </xf>
    <xf numFmtId="0" fontId="3" fillId="0" borderId="0" xfId="0" applyFont="1" applyBorder="1"/>
    <xf numFmtId="166" fontId="0" fillId="0" borderId="0" xfId="1" applyNumberFormat="1" applyFont="1" applyBorder="1"/>
    <xf numFmtId="166" fontId="0" fillId="0" borderId="0" xfId="1" applyNumberFormat="1" applyFont="1"/>
    <xf numFmtId="0" fontId="4" fillId="0" borderId="0" xfId="0" applyFont="1"/>
    <xf numFmtId="0" fontId="8" fillId="0" borderId="0" xfId="0" applyFont="1"/>
    <xf numFmtId="0" fontId="0" fillId="0" borderId="0" xfId="0" applyAlignment="1">
      <alignment horizontal="justify" vertical="justify"/>
    </xf>
    <xf numFmtId="0" fontId="9" fillId="0" borderId="0" xfId="0" applyFont="1"/>
    <xf numFmtId="0" fontId="7" fillId="0" borderId="16" xfId="0" applyFont="1" applyBorder="1" applyAlignment="1">
      <alignment horizontal="center"/>
    </xf>
    <xf numFmtId="0" fontId="0" fillId="0" borderId="0" xfId="0" applyAlignment="1">
      <alignment horizontal="center" vertical="justify"/>
    </xf>
    <xf numFmtId="0" fontId="9" fillId="0" borderId="0" xfId="0" applyFont="1" applyAlignment="1">
      <alignment horizontal="center"/>
    </xf>
    <xf numFmtId="0" fontId="12" fillId="0" borderId="22" xfId="0" applyFont="1" applyBorder="1" applyAlignment="1">
      <alignment horizontal="center" vertical="center" textRotation="90"/>
    </xf>
    <xf numFmtId="0" fontId="13" fillId="0" borderId="22" xfId="0" applyFont="1" applyBorder="1" applyAlignment="1">
      <alignment horizontal="center" vertical="center" textRotation="90"/>
    </xf>
    <xf numFmtId="166" fontId="13" fillId="0" borderId="22" xfId="1" applyNumberFormat="1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" fontId="1" fillId="0" borderId="5" xfId="1" applyNumberFormat="1" applyFont="1" applyBorder="1" applyAlignment="1" applyProtection="1">
      <alignment horizontal="right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5" fillId="0" borderId="14" xfId="0" applyNumberFormat="1" applyFont="1" applyBorder="1" applyAlignment="1" applyProtection="1">
      <alignment horizontal="center"/>
      <protection locked="0"/>
    </xf>
    <xf numFmtId="0" fontId="15" fillId="0" borderId="5" xfId="0" applyNumberFormat="1" applyFont="1" applyBorder="1" applyAlignment="1" applyProtection="1">
      <alignment horizontal="center"/>
      <protection locked="0"/>
    </xf>
    <xf numFmtId="4" fontId="15" fillId="0" borderId="5" xfId="1" applyNumberFormat="1" applyFont="1" applyBorder="1" applyAlignment="1" applyProtection="1">
      <alignment horizontal="right"/>
      <protection locked="0"/>
    </xf>
    <xf numFmtId="0" fontId="15" fillId="0" borderId="7" xfId="0" applyNumberFormat="1" applyFont="1" applyBorder="1" applyAlignment="1" applyProtection="1">
      <alignment horizontal="center"/>
      <protection locked="0"/>
    </xf>
    <xf numFmtId="0" fontId="15" fillId="0" borderId="6" xfId="0" applyNumberFormat="1" applyFont="1" applyBorder="1" applyAlignment="1" applyProtection="1">
      <alignment horizontal="center"/>
      <protection locked="0"/>
    </xf>
    <xf numFmtId="167" fontId="18" fillId="0" borderId="0" xfId="0" applyNumberFormat="1" applyFont="1" applyBorder="1" applyAlignment="1">
      <alignment horizontal="center"/>
    </xf>
    <xf numFmtId="0" fontId="18" fillId="0" borderId="0" xfId="0" applyFont="1"/>
    <xf numFmtId="4" fontId="15" fillId="0" borderId="7" xfId="1" applyNumberFormat="1" applyFont="1" applyBorder="1" applyAlignment="1" applyProtection="1">
      <alignment horizontal="right"/>
      <protection locked="0"/>
    </xf>
    <xf numFmtId="0" fontId="15" fillId="0" borderId="8" xfId="0" applyNumberFormat="1" applyFont="1" applyBorder="1" applyAlignment="1" applyProtection="1">
      <alignment horizontal="center"/>
      <protection locked="0"/>
    </xf>
    <xf numFmtId="4" fontId="15" fillId="0" borderId="7" xfId="1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15" fillId="0" borderId="28" xfId="0" applyNumberFormat="1" applyFont="1" applyBorder="1" applyAlignment="1" applyProtection="1">
      <alignment horizontal="center"/>
      <protection locked="0"/>
    </xf>
    <xf numFmtId="0" fontId="15" fillId="0" borderId="29" xfId="0" applyNumberFormat="1" applyFont="1" applyBorder="1" applyAlignment="1" applyProtection="1">
      <alignment horizontal="center"/>
      <protection locked="0"/>
    </xf>
    <xf numFmtId="4" fontId="15" fillId="0" borderId="10" xfId="1" applyNumberFormat="1" applyFont="1" applyBorder="1" applyAlignment="1" applyProtection="1">
      <alignment horizontal="right"/>
      <protection locked="0"/>
    </xf>
    <xf numFmtId="0" fontId="15" fillId="0" borderId="11" xfId="0" applyNumberFormat="1" applyFont="1" applyBorder="1" applyAlignment="1" applyProtection="1">
      <alignment horizontal="center"/>
      <protection locked="0"/>
    </xf>
    <xf numFmtId="0" fontId="15" fillId="0" borderId="43" xfId="0" applyNumberFormat="1" applyFont="1" applyBorder="1" applyAlignment="1" applyProtection="1">
      <alignment horizontal="center"/>
      <protection locked="0"/>
    </xf>
    <xf numFmtId="0" fontId="15" fillId="0" borderId="9" xfId="0" applyNumberFormat="1" applyFont="1" applyBorder="1" applyAlignment="1" applyProtection="1">
      <alignment horizontal="center"/>
      <protection locked="0"/>
    </xf>
    <xf numFmtId="0" fontId="18" fillId="0" borderId="36" xfId="0" applyFont="1" applyBorder="1"/>
    <xf numFmtId="0" fontId="15" fillId="0" borderId="0" xfId="0" applyNumberFormat="1" applyFont="1" applyBorder="1" applyAlignment="1" applyProtection="1">
      <alignment horizontal="center"/>
      <protection locked="0"/>
    </xf>
    <xf numFmtId="0" fontId="15" fillId="0" borderId="31" xfId="0" applyNumberFormat="1" applyFont="1" applyBorder="1" applyAlignment="1" applyProtection="1">
      <alignment horizontal="center"/>
      <protection locked="0"/>
    </xf>
    <xf numFmtId="4" fontId="15" fillId="0" borderId="31" xfId="1" applyNumberFormat="1" applyFont="1" applyBorder="1" applyAlignment="1" applyProtection="1">
      <alignment horizontal="right"/>
      <protection locked="0"/>
    </xf>
    <xf numFmtId="0" fontId="12" fillId="0" borderId="22" xfId="0" applyFont="1" applyBorder="1"/>
    <xf numFmtId="0" fontId="20" fillId="0" borderId="19" xfId="0" applyNumberFormat="1" applyFont="1" applyBorder="1" applyAlignment="1">
      <alignment horizontal="center"/>
    </xf>
    <xf numFmtId="0" fontId="20" fillId="0" borderId="20" xfId="0" applyNumberFormat="1" applyFont="1" applyBorder="1" applyAlignment="1">
      <alignment horizontal="center"/>
    </xf>
    <xf numFmtId="164" fontId="20" fillId="0" borderId="20" xfId="0" applyNumberFormat="1" applyFont="1" applyBorder="1" applyAlignment="1">
      <alignment horizontal="right"/>
    </xf>
    <xf numFmtId="0" fontId="20" fillId="0" borderId="46" xfId="0" applyNumberFormat="1" applyFont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/>
    </xf>
    <xf numFmtId="0" fontId="6" fillId="2" borderId="5" xfId="0" applyNumberFormat="1" applyFont="1" applyFill="1" applyBorder="1" applyAlignment="1" applyProtection="1">
      <alignment horizontal="center"/>
      <protection locked="0"/>
    </xf>
    <xf numFmtId="0" fontId="16" fillId="2" borderId="7" xfId="0" applyNumberFormat="1" applyFont="1" applyFill="1" applyBorder="1" applyAlignment="1" applyProtection="1">
      <alignment horizontal="center"/>
      <protection locked="0"/>
    </xf>
    <xf numFmtId="0" fontId="15" fillId="2" borderId="7" xfId="0" applyNumberFormat="1" applyFont="1" applyFill="1" applyBorder="1" applyAlignment="1" applyProtection="1">
      <alignment horizontal="center"/>
      <protection locked="0"/>
    </xf>
    <xf numFmtId="0" fontId="15" fillId="2" borderId="10" xfId="0" applyNumberFormat="1" applyFont="1" applyFill="1" applyBorder="1" applyAlignment="1" applyProtection="1">
      <alignment horizontal="center"/>
      <protection locked="0"/>
    </xf>
    <xf numFmtId="0" fontId="16" fillId="2" borderId="10" xfId="0" applyNumberFormat="1" applyFont="1" applyFill="1" applyBorder="1" applyAlignment="1" applyProtection="1">
      <alignment horizontal="center"/>
      <protection locked="0"/>
    </xf>
    <xf numFmtId="0" fontId="20" fillId="2" borderId="20" xfId="0" applyNumberFormat="1" applyFont="1" applyFill="1" applyBorder="1" applyAlignment="1">
      <alignment horizontal="center"/>
    </xf>
    <xf numFmtId="166" fontId="5" fillId="2" borderId="22" xfId="1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167" fontId="5" fillId="2" borderId="22" xfId="0" applyNumberFormat="1" applyFont="1" applyFill="1" applyBorder="1" applyAlignment="1">
      <alignment horizontal="right"/>
    </xf>
    <xf numFmtId="165" fontId="15" fillId="2" borderId="27" xfId="0" applyNumberFormat="1" applyFont="1" applyFill="1" applyBorder="1" applyAlignment="1">
      <alignment horizontal="center"/>
    </xf>
    <xf numFmtId="165" fontId="20" fillId="2" borderId="32" xfId="0" applyNumberFormat="1" applyFont="1" applyFill="1" applyBorder="1" applyAlignment="1">
      <alignment horizontal="center"/>
    </xf>
    <xf numFmtId="165" fontId="12" fillId="2" borderId="22" xfId="0" applyNumberFormat="1" applyFont="1" applyFill="1" applyBorder="1" applyAlignment="1">
      <alignment horizontal="center" vertical="center" textRotation="90"/>
    </xf>
    <xf numFmtId="168" fontId="5" fillId="2" borderId="2" xfId="0" applyNumberFormat="1" applyFont="1" applyFill="1" applyBorder="1" applyAlignment="1">
      <alignment horizontal="right"/>
    </xf>
    <xf numFmtId="168" fontId="12" fillId="2" borderId="2" xfId="0" applyNumberFormat="1" applyFont="1" applyFill="1" applyBorder="1" applyAlignment="1">
      <alignment horizontal="right"/>
    </xf>
    <xf numFmtId="168" fontId="19" fillId="2" borderId="2" xfId="0" applyNumberFormat="1" applyFont="1" applyFill="1" applyBorder="1" applyAlignment="1">
      <alignment horizontal="right"/>
    </xf>
    <xf numFmtId="168" fontId="12" fillId="2" borderId="3" xfId="0" applyNumberFormat="1" applyFont="1" applyFill="1" applyBorder="1" applyAlignment="1">
      <alignment horizontal="right"/>
    </xf>
    <xf numFmtId="168" fontId="20" fillId="2" borderId="22" xfId="0" applyNumberFormat="1" applyFont="1" applyFill="1" applyBorder="1" applyAlignment="1">
      <alignment horizontal="right"/>
    </xf>
    <xf numFmtId="0" fontId="9" fillId="2" borderId="19" xfId="0" applyFont="1" applyFill="1" applyBorder="1"/>
    <xf numFmtId="0" fontId="0" fillId="0" borderId="0" xfId="0" applyAlignment="1">
      <alignment horizontal="left" vertical="center"/>
    </xf>
    <xf numFmtId="164" fontId="10" fillId="2" borderId="7" xfId="1" applyFont="1" applyFill="1" applyBorder="1"/>
    <xf numFmtId="169" fontId="10" fillId="8" borderId="7" xfId="1" applyNumberFormat="1" applyFont="1" applyFill="1" applyBorder="1"/>
    <xf numFmtId="169" fontId="10" fillId="6" borderId="7" xfId="1" applyNumberFormat="1" applyFont="1" applyFill="1" applyBorder="1"/>
    <xf numFmtId="169" fontId="10" fillId="7" borderId="7" xfId="1" applyNumberFormat="1" applyFont="1" applyFill="1" applyBorder="1"/>
    <xf numFmtId="0" fontId="21" fillId="6" borderId="48" xfId="0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8" borderId="49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/>
    </xf>
    <xf numFmtId="0" fontId="21" fillId="6" borderId="50" xfId="0" applyFont="1" applyFill="1" applyBorder="1" applyAlignment="1">
      <alignment horizontal="center" vertical="center"/>
    </xf>
    <xf numFmtId="169" fontId="10" fillId="6" borderId="9" xfId="1" applyNumberFormat="1" applyFont="1" applyFill="1" applyBorder="1" applyAlignment="1">
      <alignment horizontal="center" vertical="center"/>
    </xf>
    <xf numFmtId="169" fontId="10" fillId="6" borderId="7" xfId="1" applyNumberFormat="1" applyFont="1" applyFill="1" applyBorder="1" applyAlignment="1">
      <alignment horizontal="center" vertical="center"/>
    </xf>
    <xf numFmtId="169" fontId="10" fillId="8" borderId="7" xfId="1" applyNumberFormat="1" applyFont="1" applyFill="1" applyBorder="1" applyAlignment="1">
      <alignment horizontal="center" vertical="center"/>
    </xf>
    <xf numFmtId="169" fontId="10" fillId="7" borderId="7" xfId="1" applyNumberFormat="1" applyFont="1" applyFill="1" applyBorder="1" applyAlignment="1">
      <alignment horizontal="center" vertical="center"/>
    </xf>
    <xf numFmtId="169" fontId="10" fillId="6" borderId="12" xfId="1" applyNumberFormat="1" applyFont="1" applyFill="1" applyBorder="1" applyAlignment="1">
      <alignment horizontal="center" vertical="center"/>
    </xf>
    <xf numFmtId="169" fontId="10" fillId="6" borderId="51" xfId="1" applyNumberFormat="1" applyFont="1" applyFill="1" applyBorder="1" applyAlignment="1">
      <alignment horizontal="center" vertical="center"/>
    </xf>
    <xf numFmtId="169" fontId="10" fillId="6" borderId="52" xfId="1" applyNumberFormat="1" applyFont="1" applyFill="1" applyBorder="1" applyAlignment="1">
      <alignment horizontal="center" vertical="center"/>
    </xf>
    <xf numFmtId="169" fontId="10" fillId="8" borderId="52" xfId="1" applyNumberFormat="1" applyFont="1" applyFill="1" applyBorder="1" applyAlignment="1">
      <alignment horizontal="center" vertical="center"/>
    </xf>
    <xf numFmtId="169" fontId="10" fillId="7" borderId="52" xfId="1" applyNumberFormat="1" applyFont="1" applyFill="1" applyBorder="1" applyAlignment="1">
      <alignment horizontal="center" vertical="center"/>
    </xf>
    <xf numFmtId="169" fontId="10" fillId="6" borderId="45" xfId="1" applyNumberFormat="1" applyFont="1" applyFill="1" applyBorder="1" applyAlignment="1">
      <alignment horizontal="center" vertical="center"/>
    </xf>
    <xf numFmtId="0" fontId="10" fillId="0" borderId="0" xfId="0" applyFont="1"/>
    <xf numFmtId="164" fontId="22" fillId="9" borderId="27" xfId="1" applyFont="1" applyFill="1" applyBorder="1" applyAlignment="1">
      <alignment horizontal="center" vertical="center"/>
    </xf>
    <xf numFmtId="164" fontId="23" fillId="9" borderId="53" xfId="1" applyFont="1" applyFill="1" applyBorder="1" applyAlignment="1">
      <alignment horizontal="center" vertical="center"/>
    </xf>
    <xf numFmtId="0" fontId="10" fillId="0" borderId="48" xfId="0" applyFont="1" applyBorder="1"/>
    <xf numFmtId="0" fontId="11" fillId="0" borderId="9" xfId="0" applyFont="1" applyBorder="1"/>
    <xf numFmtId="164" fontId="10" fillId="2" borderId="12" xfId="1" applyFont="1" applyFill="1" applyBorder="1"/>
    <xf numFmtId="0" fontId="11" fillId="0" borderId="51" xfId="0" applyFont="1" applyFill="1" applyBorder="1"/>
    <xf numFmtId="169" fontId="21" fillId="8" borderId="52" xfId="1" applyNumberFormat="1" applyFont="1" applyFill="1" applyBorder="1"/>
    <xf numFmtId="169" fontId="21" fillId="6" borderId="52" xfId="1" applyNumberFormat="1" applyFont="1" applyFill="1" applyBorder="1"/>
    <xf numFmtId="0" fontId="11" fillId="0" borderId="14" xfId="0" applyFont="1" applyBorder="1"/>
    <xf numFmtId="169" fontId="21" fillId="8" borderId="5" xfId="1" applyNumberFormat="1" applyFont="1" applyFill="1" applyBorder="1"/>
    <xf numFmtId="169" fontId="21" fillId="6" borderId="5" xfId="1" applyNumberFormat="1" applyFont="1" applyFill="1" applyBorder="1"/>
    <xf numFmtId="169" fontId="21" fillId="7" borderId="5" xfId="1" applyNumberFormat="1" applyFont="1" applyFill="1" applyBorder="1"/>
    <xf numFmtId="0" fontId="11" fillId="0" borderId="51" xfId="0" applyFont="1" applyBorder="1"/>
    <xf numFmtId="169" fontId="10" fillId="8" borderId="52" xfId="1" applyNumberFormat="1" applyFont="1" applyFill="1" applyBorder="1"/>
    <xf numFmtId="169" fontId="10" fillId="6" borderId="52" xfId="1" applyNumberFormat="1" applyFont="1" applyFill="1" applyBorder="1"/>
    <xf numFmtId="169" fontId="10" fillId="7" borderId="52" xfId="1" applyNumberFormat="1" applyFont="1" applyFill="1" applyBorder="1"/>
    <xf numFmtId="164" fontId="10" fillId="2" borderId="52" xfId="1" applyFont="1" applyFill="1" applyBorder="1"/>
    <xf numFmtId="164" fontId="10" fillId="2" borderId="45" xfId="1" applyFont="1" applyFill="1" applyBorder="1"/>
    <xf numFmtId="164" fontId="21" fillId="2" borderId="20" xfId="1" applyFont="1" applyFill="1" applyBorder="1"/>
    <xf numFmtId="164" fontId="21" fillId="2" borderId="21" xfId="1" applyFont="1" applyFill="1" applyBorder="1"/>
    <xf numFmtId="169" fontId="21" fillId="7" borderId="56" xfId="1" applyNumberFormat="1" applyFont="1" applyFill="1" applyBorder="1"/>
    <xf numFmtId="164" fontId="21" fillId="0" borderId="33" xfId="1" applyFont="1" applyBorder="1"/>
    <xf numFmtId="164" fontId="21" fillId="0" borderId="34" xfId="1" applyFont="1" applyBorder="1"/>
    <xf numFmtId="164" fontId="21" fillId="0" borderId="35" xfId="1" applyFont="1" applyBorder="1"/>
    <xf numFmtId="0" fontId="10" fillId="8" borderId="49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7" borderId="4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5" borderId="35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164" fontId="22" fillId="9" borderId="26" xfId="1" applyFont="1" applyFill="1" applyBorder="1" applyAlignment="1">
      <alignment horizontal="center" vertical="center"/>
    </xf>
    <xf numFmtId="170" fontId="5" fillId="2" borderId="24" xfId="0" applyNumberFormat="1" applyFont="1" applyFill="1" applyBorder="1" applyAlignment="1">
      <alignment horizontal="center"/>
    </xf>
    <xf numFmtId="165" fontId="15" fillId="2" borderId="26" xfId="0" applyNumberFormat="1" applyFont="1" applyFill="1" applyBorder="1" applyAlignment="1">
      <alignment horizontal="center"/>
    </xf>
    <xf numFmtId="165" fontId="15" fillId="2" borderId="30" xfId="0" applyNumberFormat="1" applyFont="1" applyFill="1" applyBorder="1" applyAlignment="1">
      <alignment horizontal="center"/>
    </xf>
    <xf numFmtId="165" fontId="15" fillId="2" borderId="12" xfId="0" applyNumberFormat="1" applyFont="1" applyFill="1" applyBorder="1" applyAlignment="1">
      <alignment horizontal="center"/>
    </xf>
    <xf numFmtId="165" fontId="15" fillId="2" borderId="8" xfId="0" applyNumberFormat="1" applyFont="1" applyFill="1" applyBorder="1" applyAlignment="1">
      <alignment horizontal="center"/>
    </xf>
    <xf numFmtId="165" fontId="15" fillId="2" borderId="45" xfId="0" applyNumberFormat="1" applyFont="1" applyFill="1" applyBorder="1" applyAlignment="1">
      <alignment horizontal="center"/>
    </xf>
    <xf numFmtId="170" fontId="5" fillId="2" borderId="22" xfId="0" applyNumberFormat="1" applyFont="1" applyFill="1" applyBorder="1" applyAlignment="1">
      <alignment horizontal="center"/>
    </xf>
    <xf numFmtId="168" fontId="14" fillId="2" borderId="7" xfId="0" applyNumberFormat="1" applyFont="1" applyFill="1" applyBorder="1"/>
    <xf numFmtId="168" fontId="17" fillId="2" borderId="7" xfId="0" applyNumberFormat="1" applyFont="1" applyFill="1" applyBorder="1"/>
    <xf numFmtId="168" fontId="17" fillId="2" borderId="10" xfId="0" applyNumberFormat="1" applyFont="1" applyFill="1" applyBorder="1"/>
    <xf numFmtId="168" fontId="20" fillId="2" borderId="22" xfId="0" applyNumberFormat="1" applyFont="1" applyFill="1" applyBorder="1" applyAlignment="1">
      <alignment horizontal="center"/>
    </xf>
    <xf numFmtId="0" fontId="24" fillId="10" borderId="7" xfId="0" applyFont="1" applyFill="1" applyBorder="1"/>
    <xf numFmtId="0" fontId="24" fillId="10" borderId="7" xfId="0" applyFont="1" applyFill="1" applyBorder="1" applyAlignment="1">
      <alignment horizontal="center"/>
    </xf>
    <xf numFmtId="1" fontId="26" fillId="11" borderId="7" xfId="0" applyNumberFormat="1" applyFont="1" applyFill="1" applyBorder="1" applyAlignment="1">
      <alignment horizontal="center"/>
    </xf>
    <xf numFmtId="14" fontId="26" fillId="12" borderId="7" xfId="0" applyNumberFormat="1" applyFont="1" applyFill="1" applyBorder="1"/>
    <xf numFmtId="171" fontId="0" fillId="0" borderId="7" xfId="0" applyNumberFormat="1" applyBorder="1"/>
    <xf numFmtId="171" fontId="24" fillId="10" borderId="7" xfId="0" applyNumberFormat="1" applyFont="1" applyFill="1" applyBorder="1"/>
    <xf numFmtId="14" fontId="27" fillId="12" borderId="7" xfId="0" applyNumberFormat="1" applyFont="1" applyFill="1" applyBorder="1"/>
    <xf numFmtId="0" fontId="26" fillId="11" borderId="7" xfId="0" applyNumberFormat="1" applyFont="1" applyFill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171" fontId="1" fillId="0" borderId="7" xfId="0" applyNumberFormat="1" applyFont="1" applyBorder="1" applyAlignment="1">
      <alignment horizontal="center"/>
    </xf>
    <xf numFmtId="171" fontId="1" fillId="0" borderId="29" xfId="0" applyNumberFormat="1" applyFont="1" applyBorder="1" applyAlignment="1">
      <alignment horizontal="center"/>
    </xf>
    <xf numFmtId="171" fontId="6" fillId="0" borderId="5" xfId="0" applyNumberFormat="1" applyFont="1" applyBorder="1" applyAlignment="1">
      <alignment horizontal="center"/>
    </xf>
    <xf numFmtId="172" fontId="22" fillId="9" borderId="27" xfId="1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0" fontId="6" fillId="0" borderId="5" xfId="0" applyFont="1" applyFill="1" applyBorder="1" applyAlignment="1">
      <alignment horizontal="center"/>
    </xf>
    <xf numFmtId="0" fontId="7" fillId="0" borderId="9" xfId="0" applyFont="1" applyFill="1" applyBorder="1"/>
    <xf numFmtId="0" fontId="1" fillId="0" borderId="7" xfId="0" quotePrefix="1" applyFont="1" applyFill="1" applyBorder="1" applyAlignment="1">
      <alignment horizontal="center"/>
    </xf>
    <xf numFmtId="0" fontId="7" fillId="0" borderId="13" xfId="0" applyFont="1" applyFill="1" applyBorder="1"/>
    <xf numFmtId="0" fontId="1" fillId="0" borderId="10" xfId="0" applyFont="1" applyFill="1" applyBorder="1" applyAlignment="1">
      <alignment horizontal="center"/>
    </xf>
    <xf numFmtId="0" fontId="7" fillId="0" borderId="28" xfId="0" applyFont="1" applyFill="1" applyBorder="1"/>
    <xf numFmtId="0" fontId="1" fillId="0" borderId="29" xfId="0" applyFont="1" applyFill="1" applyBorder="1" applyAlignment="1">
      <alignment horizontal="center"/>
    </xf>
    <xf numFmtId="0" fontId="5" fillId="0" borderId="25" xfId="0" applyFont="1" applyFill="1" applyBorder="1"/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4" xfId="0" applyFont="1" applyFill="1" applyBorder="1"/>
    <xf numFmtId="0" fontId="12" fillId="0" borderId="44" xfId="0" applyFont="1" applyFill="1" applyBorder="1"/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 vertical="center" textRotation="90" wrapText="1"/>
    </xf>
    <xf numFmtId="0" fontId="22" fillId="9" borderId="57" xfId="0" applyFont="1" applyFill="1" applyBorder="1" applyAlignment="1">
      <alignment horizontal="center" vertical="center" textRotation="90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justify"/>
    </xf>
    <xf numFmtId="0" fontId="5" fillId="0" borderId="17" xfId="0" applyFont="1" applyBorder="1" applyAlignment="1">
      <alignment horizontal="center" vertical="justify"/>
    </xf>
    <xf numFmtId="0" fontId="5" fillId="2" borderId="4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wrapText="1"/>
    </xf>
    <xf numFmtId="0" fontId="25" fillId="10" borderId="7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/>
    </xf>
    <xf numFmtId="165" fontId="1" fillId="2" borderId="26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6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t-BR"/>
              <a:t>Índice de Distribuição de Recursos do CT</a:t>
            </a:r>
          </a:p>
        </c:rich>
      </c:tx>
      <c:layout>
        <c:manualLayout>
          <c:xMode val="edge"/>
          <c:yMode val="edge"/>
          <c:x val="0.17404737384140201"/>
          <c:y val="2.786887476696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837281153450056E-2"/>
          <c:y val="0.19180343221970433"/>
          <c:w val="0.89701338825952626"/>
          <c:h val="0.59180375240438765"/>
        </c:manualLayout>
      </c:layout>
      <c:barChart>
        <c:barDir val="col"/>
        <c:grouping val="clustered"/>
        <c:ser>
          <c:idx val="0"/>
          <c:order val="0"/>
          <c:tx>
            <c:strRef>
              <c:f>'Prod. Científica'!#REF!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'Prod. Científica'!#REF!</c:f>
            </c:multiLvlStrRef>
          </c:cat>
          <c:val>
            <c:numRef>
              <c:f>'Prod. Científica'!#REF!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'Prod. Científica'!#REF!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'Prod. Científica'!#REF!</c:f>
            </c:multiLvlStrRef>
          </c:cat>
          <c:val>
            <c:numRef>
              <c:f>'Prod. Científica'!#REF!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overlap val="-30"/>
        <c:axId val="118462720"/>
        <c:axId val="118473088"/>
      </c:barChart>
      <c:catAx>
        <c:axId val="118462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5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BR"/>
                  <a:t>Subunidades</a:t>
                </a:r>
              </a:p>
            </c:rich>
          </c:tx>
          <c:layout>
            <c:manualLayout>
              <c:xMode val="edge"/>
              <c:yMode val="edge"/>
              <c:x val="0.3079299691040201"/>
              <c:y val="0.906558102713644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8473088"/>
        <c:crosses val="autoZero"/>
        <c:auto val="1"/>
        <c:lblAlgn val="ctr"/>
        <c:lblOffset val="100"/>
        <c:tickLblSkip val="1"/>
        <c:tickMarkSkip val="1"/>
      </c:catAx>
      <c:valAx>
        <c:axId val="118473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BR"/>
                  <a:t>Valor em %</a:t>
                </a:r>
              </a:p>
            </c:rich>
          </c:tx>
          <c:layout>
            <c:manualLayout>
              <c:xMode val="edge"/>
              <c:yMode val="edge"/>
              <c:x val="5.1493305870236924E-3"/>
              <c:y val="0.419672467079013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8462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938208032955442"/>
          <c:y val="0.93442697748061077"/>
          <c:w val="0.29248197734294917"/>
          <c:h val="6.06557862575133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1.1599999999999946" r="0.78740157499999996" t="0.98425196899999956" header="0.49212598500000215" footer="0.49212598500000215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44</xdr:row>
      <xdr:rowOff>38100</xdr:rowOff>
    </xdr:from>
    <xdr:to>
      <xdr:col>9</xdr:col>
      <xdr:colOff>723900</xdr:colOff>
      <xdr:row>49</xdr:row>
      <xdr:rowOff>76200</xdr:rowOff>
    </xdr:to>
    <xdr:sp macro="" textlink="">
      <xdr:nvSpPr>
        <xdr:cNvPr id="2" name="Text Box 29"/>
        <xdr:cNvSpPr txBox="1">
          <a:spLocks noChangeArrowheads="1"/>
        </xdr:cNvSpPr>
      </xdr:nvSpPr>
      <xdr:spPr bwMode="auto">
        <a:xfrm>
          <a:off x="76200" y="9115425"/>
          <a:ext cx="595312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Aos Dirigentes de Subunidades do CT:</a:t>
          </a:r>
        </a:p>
        <a:p>
          <a:pPr algn="l" rtl="1">
            <a:defRPr sz="1000"/>
          </a:pPr>
          <a:endParaRPr lang="pt-BR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             Estamos encaminhando a Planilha de Cálculo dos Índices de Distribuição de Recursos do CT para 2015</a:t>
          </a:r>
          <a:r>
            <a:rPr lang="pt-BR" sz="900" b="0" i="0" strike="noStrike" baseline="0">
              <a:solidFill>
                <a:srgbClr val="000000"/>
              </a:solidFill>
              <a:latin typeface="Arial"/>
              <a:cs typeface="Arial"/>
            </a:rPr>
            <a:t> para vossa avaliação. </a:t>
          </a: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352425</xdr:colOff>
      <xdr:row>49</xdr:row>
      <xdr:rowOff>65210</xdr:rowOff>
    </xdr:from>
    <xdr:to>
      <xdr:col>9</xdr:col>
      <xdr:colOff>723900</xdr:colOff>
      <xdr:row>50</xdr:row>
      <xdr:rowOff>93785</xdr:rowOff>
    </xdr:to>
    <xdr:sp macro="" textlink="">
      <xdr:nvSpPr>
        <xdr:cNvPr id="3" name="Text Box 30"/>
        <xdr:cNvSpPr txBox="1">
          <a:spLocks noChangeArrowheads="1"/>
        </xdr:cNvSpPr>
      </xdr:nvSpPr>
      <xdr:spPr bwMode="auto">
        <a:xfrm>
          <a:off x="3122002" y="9788037"/>
          <a:ext cx="2899263" cy="1604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Santa Maria, 01 de junho de 2015.</a:t>
          </a:r>
        </a:p>
        <a:p>
          <a:pPr algn="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352425</xdr:colOff>
      <xdr:row>50</xdr:row>
      <xdr:rowOff>123825</xdr:rowOff>
    </xdr:from>
    <xdr:to>
      <xdr:col>8</xdr:col>
      <xdr:colOff>409575</xdr:colOff>
      <xdr:row>52</xdr:row>
      <xdr:rowOff>19050</xdr:rowOff>
    </xdr:to>
    <xdr:sp macro="" textlink="">
      <xdr:nvSpPr>
        <xdr:cNvPr id="4" name="Text Box 31"/>
        <xdr:cNvSpPr txBox="1">
          <a:spLocks noChangeArrowheads="1"/>
        </xdr:cNvSpPr>
      </xdr:nvSpPr>
      <xdr:spPr bwMode="auto">
        <a:xfrm>
          <a:off x="3124200" y="10001250"/>
          <a:ext cx="198120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Direção do CT</a:t>
          </a:r>
          <a:endParaRPr lang="pt-BR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141</xdr:row>
      <xdr:rowOff>47625</xdr:rowOff>
    </xdr:from>
    <xdr:to>
      <xdr:col>7</xdr:col>
      <xdr:colOff>76200</xdr:colOff>
      <xdr:row>177</xdr:row>
      <xdr:rowOff>28575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sas%20CT%20exerc&#237;cio%202014%20edita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CT (monitoria)"/>
      <sheetName val="2 PRAE"/>
      <sheetName val="2ACT(mensal)"/>
      <sheetName val="88CT(auxílio evento)"/>
      <sheetName val="Relatório ger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>
            <v>702</v>
          </cell>
          <cell r="B5" t="str">
            <v>ADM/CT</v>
          </cell>
          <cell r="C5">
            <v>0</v>
          </cell>
          <cell r="D5">
            <v>6.9734220518025625</v>
          </cell>
          <cell r="E5">
            <v>8.5222360061651816</v>
          </cell>
          <cell r="F5">
            <v>35.670237960978909</v>
          </cell>
        </row>
        <row r="6">
          <cell r="A6">
            <v>705</v>
          </cell>
          <cell r="B6" t="str">
            <v>CCEC</v>
          </cell>
          <cell r="C6">
            <v>0</v>
          </cell>
          <cell r="D6">
            <v>0</v>
          </cell>
          <cell r="E6">
            <v>0.79696252020600722</v>
          </cell>
          <cell r="F6">
            <v>0.93199503778053439</v>
          </cell>
        </row>
        <row r="7">
          <cell r="A7">
            <v>706</v>
          </cell>
          <cell r="B7" t="str">
            <v>CCEE</v>
          </cell>
          <cell r="C7">
            <v>0</v>
          </cell>
          <cell r="D7">
            <v>0</v>
          </cell>
          <cell r="E7">
            <v>0.16164805834367127</v>
          </cell>
          <cell r="F7">
            <v>2.680500733055148</v>
          </cell>
        </row>
        <row r="8">
          <cell r="A8">
            <v>707</v>
          </cell>
          <cell r="B8" t="str">
            <v>CCEM</v>
          </cell>
          <cell r="C8">
            <v>0</v>
          </cell>
          <cell r="D8">
            <v>0</v>
          </cell>
          <cell r="E8">
            <v>0</v>
          </cell>
          <cell r="F8">
            <v>1.9555655802413441</v>
          </cell>
        </row>
        <row r="9">
          <cell r="A9">
            <v>708</v>
          </cell>
          <cell r="B9" t="str">
            <v>CCEQ</v>
          </cell>
          <cell r="C9">
            <v>0</v>
          </cell>
          <cell r="D9">
            <v>0</v>
          </cell>
          <cell r="E9">
            <v>0</v>
          </cell>
          <cell r="F9">
            <v>1.048832750648472</v>
          </cell>
        </row>
        <row r="10">
          <cell r="A10">
            <v>709</v>
          </cell>
          <cell r="B10" t="str">
            <v>PPGEE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710</v>
          </cell>
          <cell r="B11" t="str">
            <v>PPGEP</v>
          </cell>
          <cell r="C11">
            <v>0</v>
          </cell>
          <cell r="D11">
            <v>0</v>
          </cell>
          <cell r="E11">
            <v>0</v>
          </cell>
          <cell r="F11">
            <v>0.78493289725950144</v>
          </cell>
        </row>
        <row r="12">
          <cell r="A12">
            <v>720</v>
          </cell>
          <cell r="B12" t="str">
            <v>NAFA</v>
          </cell>
          <cell r="C12">
            <v>0</v>
          </cell>
          <cell r="D12">
            <v>0</v>
          </cell>
          <cell r="E12">
            <v>1.2631104093831056</v>
          </cell>
          <cell r="F12">
            <v>0</v>
          </cell>
        </row>
        <row r="13">
          <cell r="A13">
            <v>721</v>
          </cell>
          <cell r="B13" t="str">
            <v>LMCC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722</v>
          </cell>
          <cell r="B14" t="str">
            <v>LACESM</v>
          </cell>
          <cell r="C14">
            <v>0</v>
          </cell>
          <cell r="D14">
            <v>11.88677117401601</v>
          </cell>
          <cell r="E14">
            <v>0.99996240742829201</v>
          </cell>
          <cell r="F14">
            <v>0.36539979700011271</v>
          </cell>
        </row>
        <row r="15">
          <cell r="A15">
            <v>724</v>
          </cell>
          <cell r="B15" t="str">
            <v>SICT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725</v>
          </cell>
          <cell r="B16" t="str">
            <v>NUPEDEE</v>
          </cell>
          <cell r="C16">
            <v>0</v>
          </cell>
          <cell r="D16">
            <v>1.5187398969963535</v>
          </cell>
          <cell r="E16">
            <v>0.43607383181083409</v>
          </cell>
          <cell r="F16">
            <v>0</v>
          </cell>
        </row>
        <row r="17">
          <cell r="A17">
            <v>730</v>
          </cell>
          <cell r="B17" t="str">
            <v>DEPG</v>
          </cell>
          <cell r="C17">
            <v>6.0336077591067996</v>
          </cell>
          <cell r="D17">
            <v>0</v>
          </cell>
          <cell r="E17">
            <v>0</v>
          </cell>
          <cell r="F17">
            <v>0.19487989173339346</v>
          </cell>
        </row>
        <row r="18">
          <cell r="A18">
            <v>731</v>
          </cell>
          <cell r="B18" t="str">
            <v>DECC</v>
          </cell>
          <cell r="C18">
            <v>6.9170331942408181</v>
          </cell>
          <cell r="D18">
            <v>1.0450734934776889</v>
          </cell>
          <cell r="E18">
            <v>1.7104620127062891</v>
          </cell>
          <cell r="F18">
            <v>0.21202210443216418</v>
          </cell>
        </row>
        <row r="19">
          <cell r="A19">
            <v>733</v>
          </cell>
          <cell r="B19" t="str">
            <v>DTRP</v>
          </cell>
          <cell r="C19">
            <v>1.6653509266568924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734</v>
          </cell>
          <cell r="B20" t="str">
            <v>DEQ</v>
          </cell>
          <cell r="C20">
            <v>8.4019397767001216</v>
          </cell>
          <cell r="D20">
            <v>2.1352580730047741</v>
          </cell>
          <cell r="E20">
            <v>0</v>
          </cell>
          <cell r="F20">
            <v>0.46013307770384571</v>
          </cell>
        </row>
        <row r="21">
          <cell r="A21">
            <v>735</v>
          </cell>
          <cell r="B21" t="str">
            <v>DEM</v>
          </cell>
          <cell r="C21">
            <v>6.8230517649712423</v>
          </cell>
          <cell r="D21">
            <v>0.54133303259275956</v>
          </cell>
          <cell r="E21">
            <v>0</v>
          </cell>
          <cell r="F21">
            <v>1.623999097778279</v>
          </cell>
        </row>
        <row r="22">
          <cell r="A22">
            <v>736</v>
          </cell>
          <cell r="B22" t="str">
            <v>DPS</v>
          </cell>
          <cell r="C22">
            <v>2.2931468741776624</v>
          </cell>
          <cell r="D22">
            <v>0.99620315025750894</v>
          </cell>
          <cell r="E22">
            <v>0.10901845795270854</v>
          </cell>
          <cell r="F22">
            <v>1.2265704296830944</v>
          </cell>
        </row>
        <row r="23">
          <cell r="A23">
            <v>737</v>
          </cell>
          <cell r="B23" t="str">
            <v>DESP</v>
          </cell>
          <cell r="C23">
            <v>2.85703544979512</v>
          </cell>
          <cell r="D23">
            <v>0</v>
          </cell>
          <cell r="E23">
            <v>0</v>
          </cell>
          <cell r="F23">
            <v>0.22555543024698319</v>
          </cell>
        </row>
        <row r="24">
          <cell r="A24">
            <v>738</v>
          </cell>
          <cell r="B24" t="str">
            <v>DELC</v>
          </cell>
          <cell r="C24">
            <v>0</v>
          </cell>
          <cell r="D24">
            <v>0.19172211570993569</v>
          </cell>
          <cell r="E24">
            <v>0</v>
          </cell>
          <cell r="F24">
            <v>0</v>
          </cell>
        </row>
        <row r="25">
          <cell r="A25">
            <v>739</v>
          </cell>
          <cell r="B25" t="str">
            <v>CCCC</v>
          </cell>
          <cell r="C25">
            <v>0</v>
          </cell>
          <cell r="D25">
            <v>2.5074245329122964</v>
          </cell>
          <cell r="E25">
            <v>0.98492537874515984</v>
          </cell>
          <cell r="F25">
            <v>0.72177737679034615</v>
          </cell>
        </row>
        <row r="26">
          <cell r="A26">
            <v>740</v>
          </cell>
          <cell r="B26" t="str">
            <v>CCAU</v>
          </cell>
          <cell r="C26">
            <v>0</v>
          </cell>
          <cell r="D26">
            <v>0</v>
          </cell>
          <cell r="E26">
            <v>0.35712943122439</v>
          </cell>
          <cell r="F26">
            <v>1.2518326378707567</v>
          </cell>
        </row>
        <row r="27">
          <cell r="A27">
            <v>744</v>
          </cell>
          <cell r="B27" t="str">
            <v>PPGEC</v>
          </cell>
          <cell r="C27">
            <v>0</v>
          </cell>
          <cell r="D27">
            <v>0</v>
          </cell>
          <cell r="E27">
            <v>0</v>
          </cell>
          <cell r="F27">
            <v>0.22555543024698319</v>
          </cell>
        </row>
        <row r="28">
          <cell r="A28">
            <v>746</v>
          </cell>
          <cell r="B28" t="str">
            <v>DAU</v>
          </cell>
          <cell r="C28">
            <v>1.717980527047855</v>
          </cell>
          <cell r="D28">
            <v>0.75185143415661049</v>
          </cell>
          <cell r="E28">
            <v>0.18796285853915265</v>
          </cell>
          <cell r="F28">
            <v>0</v>
          </cell>
        </row>
        <row r="29">
          <cell r="A29">
            <v>753</v>
          </cell>
          <cell r="B29" t="str">
            <v>PPGI</v>
          </cell>
          <cell r="C29">
            <v>0</v>
          </cell>
          <cell r="D29">
            <v>0</v>
          </cell>
          <cell r="E29">
            <v>0</v>
          </cell>
          <cell r="F29">
            <v>0.90222172098793274</v>
          </cell>
        </row>
        <row r="30">
          <cell r="A30">
            <v>754</v>
          </cell>
          <cell r="B30" t="str">
            <v>DPEE</v>
          </cell>
          <cell r="C30">
            <v>2.4472764181797677</v>
          </cell>
          <cell r="D30">
            <v>0</v>
          </cell>
          <cell r="E30">
            <v>0.55261080410510877</v>
          </cell>
          <cell r="F30">
            <v>1.822487876395624</v>
          </cell>
        </row>
        <row r="31">
          <cell r="A31">
            <v>755</v>
          </cell>
          <cell r="B31" t="str">
            <v>PPGEPro</v>
          </cell>
          <cell r="C31">
            <v>0</v>
          </cell>
          <cell r="D31">
            <v>0</v>
          </cell>
          <cell r="E31">
            <v>0</v>
          </cell>
          <cell r="F31">
            <v>0.14435547535806922</v>
          </cell>
        </row>
        <row r="32">
          <cell r="A32">
            <v>756</v>
          </cell>
          <cell r="B32" t="str">
            <v>CECA</v>
          </cell>
          <cell r="C32">
            <v>0</v>
          </cell>
          <cell r="D32">
            <v>0</v>
          </cell>
          <cell r="E32">
            <v>0</v>
          </cell>
          <cell r="F32">
            <v>1.5247547084696065</v>
          </cell>
        </row>
        <row r="33">
          <cell r="A33">
            <v>757</v>
          </cell>
          <cell r="B33" t="str">
            <v>CCEP</v>
          </cell>
          <cell r="C33">
            <v>0</v>
          </cell>
          <cell r="D33">
            <v>0</v>
          </cell>
          <cell r="E33">
            <v>1.4924250968008721</v>
          </cell>
          <cell r="F33">
            <v>1.7457990301116499</v>
          </cell>
        </row>
        <row r="34">
          <cell r="A34">
            <v>758</v>
          </cell>
          <cell r="B34" t="str">
            <v>CEComp</v>
          </cell>
          <cell r="C34">
            <v>0</v>
          </cell>
          <cell r="D34">
            <v>0</v>
          </cell>
          <cell r="E34">
            <v>0</v>
          </cell>
          <cell r="F34">
            <v>0.18946656140746587</v>
          </cell>
        </row>
        <row r="35">
          <cell r="A35">
            <v>759</v>
          </cell>
          <cell r="B35" t="str">
            <v>CCEAc</v>
          </cell>
          <cell r="C35">
            <v>0</v>
          </cell>
          <cell r="D35">
            <v>0</v>
          </cell>
          <cell r="E35">
            <v>0</v>
          </cell>
          <cell r="F35">
            <v>0.77591068004962216</v>
          </cell>
        </row>
        <row r="36">
          <cell r="A36">
            <v>760</v>
          </cell>
          <cell r="B36" t="str">
            <v>CESA</v>
          </cell>
          <cell r="C36">
            <v>0</v>
          </cell>
          <cell r="D36">
            <v>0</v>
          </cell>
          <cell r="E36">
            <v>0.5488515469343257</v>
          </cell>
          <cell r="F36">
            <v>1.0059772189015452</v>
          </cell>
        </row>
        <row r="37">
          <cell r="A37">
            <v>762</v>
          </cell>
          <cell r="B37" t="str">
            <v>CCSI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763</v>
          </cell>
          <cell r="B38" t="str">
            <v>DESA</v>
          </cell>
          <cell r="C38">
            <v>4.2066087741062352</v>
          </cell>
          <cell r="D38">
            <v>1.8645915567083942</v>
          </cell>
          <cell r="E38">
            <v>0.10901845795270854</v>
          </cell>
          <cell r="F38">
            <v>1.3375437013646101</v>
          </cell>
        </row>
        <row r="39">
          <cell r="A39">
            <v>765</v>
          </cell>
          <cell r="B39" t="str">
            <v>PGEAmb</v>
          </cell>
          <cell r="C39">
            <v>0</v>
          </cell>
          <cell r="D39">
            <v>0</v>
          </cell>
          <cell r="E39">
            <v>0</v>
          </cell>
          <cell r="F39">
            <v>0.75335513702492374</v>
          </cell>
        </row>
        <row r="40">
          <cell r="A40">
            <v>766</v>
          </cell>
          <cell r="B40" t="str">
            <v>DLSC</v>
          </cell>
          <cell r="C40">
            <v>2.5262208187662116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767</v>
          </cell>
          <cell r="B41" t="str">
            <v>DCOM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770</v>
          </cell>
          <cell r="B42" t="str">
            <v>CAero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771</v>
          </cell>
          <cell r="B43" t="str">
            <v>CTelecom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57"/>
  <sheetViews>
    <sheetView showGridLines="0" tabSelected="1" topLeftCell="A5" zoomScale="130" zoomScaleNormal="13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K7" sqref="K7"/>
    </sheetView>
  </sheetViews>
  <sheetFormatPr defaultColWidth="11.42578125" defaultRowHeight="12.75"/>
  <cols>
    <col min="1" max="1" width="12.7109375" customWidth="1"/>
    <col min="2" max="2" width="6.140625" customWidth="1"/>
    <col min="3" max="3" width="7.28515625" customWidth="1"/>
    <col min="4" max="4" width="15.42578125" style="11" customWidth="1"/>
    <col min="5" max="6" width="5.42578125" customWidth="1"/>
    <col min="7" max="7" width="8" customWidth="1"/>
    <col min="8" max="8" width="10" customWidth="1"/>
    <col min="9" max="9" width="9.140625" style="1" customWidth="1"/>
    <col min="10" max="10" width="12" style="3" customWidth="1"/>
  </cols>
  <sheetData>
    <row r="1" spans="1:11" ht="37.5" customHeight="1">
      <c r="A1" s="188" t="s">
        <v>99</v>
      </c>
      <c r="B1" s="189"/>
      <c r="C1" s="189"/>
      <c r="D1" s="189"/>
      <c r="E1" s="189"/>
      <c r="F1" s="189"/>
      <c r="G1" s="189"/>
      <c r="H1" s="189"/>
      <c r="I1" s="189"/>
      <c r="J1" s="190"/>
    </row>
    <row r="2" spans="1:11">
      <c r="A2" s="191"/>
      <c r="B2" s="192"/>
      <c r="C2" s="192"/>
      <c r="D2" s="192"/>
      <c r="E2" s="192"/>
      <c r="F2" s="192"/>
      <c r="G2" s="192"/>
      <c r="H2" s="192"/>
      <c r="I2" s="192"/>
      <c r="J2" s="193"/>
      <c r="K2" s="2"/>
    </row>
    <row r="3" spans="1:11" ht="12" customHeight="1">
      <c r="A3" s="191"/>
      <c r="B3" s="192"/>
      <c r="C3" s="192"/>
      <c r="D3" s="192"/>
      <c r="E3" s="192"/>
      <c r="F3" s="192"/>
      <c r="G3" s="192"/>
      <c r="H3" s="192"/>
      <c r="I3" s="192"/>
      <c r="J3" s="193"/>
      <c r="K3" s="4"/>
    </row>
    <row r="4" spans="1:11" ht="2.25" customHeight="1" thickBot="1">
      <c r="A4" s="194"/>
      <c r="B4" s="195"/>
      <c r="C4" s="195"/>
      <c r="D4" s="195"/>
      <c r="E4" s="195"/>
      <c r="F4" s="195"/>
      <c r="G4" s="195"/>
      <c r="H4" s="195"/>
      <c r="I4" s="195"/>
      <c r="J4" s="196"/>
      <c r="K4" s="4"/>
    </row>
    <row r="5" spans="1:11" ht="177.75" customHeight="1" thickBot="1">
      <c r="A5" s="19" t="s">
        <v>38</v>
      </c>
      <c r="B5" s="20" t="s">
        <v>39</v>
      </c>
      <c r="C5" s="20" t="s">
        <v>40</v>
      </c>
      <c r="D5" s="21" t="s">
        <v>41</v>
      </c>
      <c r="E5" s="68" t="s">
        <v>42</v>
      </c>
      <c r="F5" s="68" t="s">
        <v>43</v>
      </c>
      <c r="G5" s="20" t="s">
        <v>44</v>
      </c>
      <c r="H5" s="68" t="s">
        <v>45</v>
      </c>
      <c r="I5" s="68" t="s">
        <v>46</v>
      </c>
      <c r="J5" s="81" t="s">
        <v>98</v>
      </c>
      <c r="K5" s="4"/>
    </row>
    <row r="6" spans="1:11" s="12" customFormat="1" ht="15" customHeight="1" thickBot="1">
      <c r="A6" s="69" t="s">
        <v>14</v>
      </c>
      <c r="B6" s="69">
        <v>4.3600000000000003</v>
      </c>
      <c r="C6" s="69">
        <v>10.9</v>
      </c>
      <c r="D6" s="76">
        <v>2.7250000000000001</v>
      </c>
      <c r="E6" s="69">
        <v>5.45</v>
      </c>
      <c r="F6" s="77">
        <v>6.54</v>
      </c>
      <c r="G6" s="69">
        <v>2.7250000000000001</v>
      </c>
      <c r="H6" s="147">
        <v>13.625</v>
      </c>
      <c r="I6" s="141">
        <f>100-SUM(B6:H6)</f>
        <v>53.674999999999997</v>
      </c>
      <c r="J6" s="78">
        <f>SUM(B6:I6)</f>
        <v>100</v>
      </c>
    </row>
    <row r="7" spans="1:11" s="13" customFormat="1">
      <c r="A7" s="174" t="s">
        <v>0</v>
      </c>
      <c r="B7" s="27"/>
      <c r="C7" s="28"/>
      <c r="D7" s="29"/>
      <c r="E7" s="70">
        <v>0</v>
      </c>
      <c r="F7" s="70">
        <v>0</v>
      </c>
      <c r="G7" s="30"/>
      <c r="H7" s="148">
        <f>'Prod. Científica'!H7</f>
        <v>0</v>
      </c>
      <c r="I7" s="225">
        <v>16</v>
      </c>
      <c r="J7" s="82">
        <f>I7+(B7/B44)*B6+(C7/C44)*C6+(D7/D44)*D6+(E7/E44)*E6+(F7/F44)*F6+(G7/G44)*G6+H7</f>
        <v>16</v>
      </c>
    </row>
    <row r="8" spans="1:11" s="37" customFormat="1" ht="12">
      <c r="A8" s="175" t="s">
        <v>1</v>
      </c>
      <c r="B8" s="31">
        <v>5</v>
      </c>
      <c r="C8" s="32">
        <v>20</v>
      </c>
      <c r="D8" s="33">
        <v>0</v>
      </c>
      <c r="E8" s="71">
        <f>'Doc. Téc, Bolsistas e Eventos'!E6</f>
        <v>19.186872673959627</v>
      </c>
      <c r="F8" s="72">
        <f>'Doc. Téc, Bolsistas e Eventos'!I6</f>
        <v>16</v>
      </c>
      <c r="G8" s="35">
        <v>65</v>
      </c>
      <c r="H8" s="149">
        <f>'Prod. Científica'!H8</f>
        <v>0</v>
      </c>
      <c r="I8" s="142">
        <v>0.75</v>
      </c>
      <c r="J8" s="83">
        <f>I8+(B8/B44)*B6+(C8/C44)*C6+(D8/D44)*D6+(E8/E44)*E6+(F8/F44)*F6+(G8/G44)*G6+H8</f>
        <v>2.1807396313342591</v>
      </c>
      <c r="K8" s="36"/>
    </row>
    <row r="9" spans="1:11" s="37" customFormat="1" ht="12">
      <c r="A9" s="176" t="s">
        <v>2</v>
      </c>
      <c r="B9" s="31">
        <v>4</v>
      </c>
      <c r="C9" s="32">
        <v>13</v>
      </c>
      <c r="D9" s="38">
        <f>93600*0.8</f>
        <v>74880</v>
      </c>
      <c r="E9" s="71">
        <f>'Doc. Téc, Bolsistas e Eventos'!E7</f>
        <v>22.526446374196457</v>
      </c>
      <c r="F9" s="72">
        <f>'Doc. Téc, Bolsistas e Eventos'!I7</f>
        <v>37</v>
      </c>
      <c r="G9" s="39">
        <v>42</v>
      </c>
      <c r="H9" s="149">
        <f>'Prod. Científica'!H9</f>
        <v>0</v>
      </c>
      <c r="I9" s="79">
        <v>0.75</v>
      </c>
      <c r="J9" s="83">
        <f>I9+(B9/B44)*B6+(C9/C44)*C6+(D9/D44)*D6+(E9/E44)*E6+(F9/F44)*F6+(G9/G44)*G6+H9</f>
        <v>2.2512256587654789</v>
      </c>
      <c r="K9" s="36"/>
    </row>
    <row r="10" spans="1:11" s="37" customFormat="1" ht="12">
      <c r="A10" s="176" t="s">
        <v>3</v>
      </c>
      <c r="B10" s="31">
        <v>2</v>
      </c>
      <c r="C10" s="32">
        <v>3</v>
      </c>
      <c r="D10" s="38">
        <v>0</v>
      </c>
      <c r="E10" s="71">
        <f>'Doc. Téc, Bolsistas e Eventos'!E8</f>
        <v>19.866696740724031</v>
      </c>
      <c r="F10" s="72">
        <f>'Doc. Téc, Bolsistas e Eventos'!I8</f>
        <v>0</v>
      </c>
      <c r="G10" s="39">
        <v>17</v>
      </c>
      <c r="H10" s="149">
        <f>'Prod. Científica'!H10</f>
        <v>0</v>
      </c>
      <c r="I10" s="79">
        <v>0.75</v>
      </c>
      <c r="J10" s="83">
        <f>I10+(B10/B44)*B6+(C10/C44)*C6+(D10/D44)*D6+(E10/E44)*E6+(F10/F44)*F6+(G10/G44)*G6+H10</f>
        <v>1.0413126647323769</v>
      </c>
      <c r="K10" s="36"/>
    </row>
    <row r="11" spans="1:11" s="37" customFormat="1" ht="12">
      <c r="A11" s="176" t="s">
        <v>4</v>
      </c>
      <c r="B11" s="31">
        <v>0</v>
      </c>
      <c r="C11" s="32">
        <v>3</v>
      </c>
      <c r="D11" s="38">
        <v>6000</v>
      </c>
      <c r="E11" s="72">
        <f>'Doc. Téc, Bolsistas e Eventos'!E9</f>
        <v>17.146498251945417</v>
      </c>
      <c r="F11" s="72">
        <f>'Doc. Téc, Bolsistas e Eventos'!I9</f>
        <v>20.5</v>
      </c>
      <c r="G11" s="39">
        <v>85</v>
      </c>
      <c r="H11" s="149">
        <f>'Prod. Científica'!H11</f>
        <v>0</v>
      </c>
      <c r="I11" s="79">
        <v>0.75</v>
      </c>
      <c r="J11" s="83">
        <f>I11+(B11/B44)*B6+(C11/C44)*C6+(D11/D44)*D6+(E11/E44)*E6+(F11/F44)*F6+(G11/G44)*G6+H11</f>
        <v>2.0870884818336553</v>
      </c>
      <c r="K11" s="36"/>
    </row>
    <row r="12" spans="1:11" s="37" customFormat="1" ht="12">
      <c r="A12" s="176" t="s">
        <v>22</v>
      </c>
      <c r="B12" s="31">
        <v>12</v>
      </c>
      <c r="C12" s="32">
        <v>6</v>
      </c>
      <c r="D12" s="38">
        <f>359056.8*0.5+55000+0.5+96000*0.3333+4888*0.3333+1200*0.5</f>
        <v>268754.87040000001</v>
      </c>
      <c r="E12" s="71">
        <f>'Doc. Téc, Bolsistas e Eventos'!E10</f>
        <v>28</v>
      </c>
      <c r="F12" s="72">
        <f>'Doc. Téc, Bolsistas e Eventos'!I10</f>
        <v>2.1659999999999999</v>
      </c>
      <c r="G12" s="39">
        <v>2</v>
      </c>
      <c r="H12" s="149">
        <f>'Prod. Científica'!H12</f>
        <v>0</v>
      </c>
      <c r="I12" s="79">
        <v>0.75</v>
      </c>
      <c r="J12" s="83">
        <f>I12+(B12/B44)*B6+(C12/C44)*C6+(D12/D44)*D6+(E12/E44)*E6+(F12/F44)*F6+(G12/G44)*G6+H12</f>
        <v>1.1637591682679116</v>
      </c>
      <c r="K12" s="36"/>
    </row>
    <row r="13" spans="1:11" s="37" customFormat="1" ht="12">
      <c r="A13" s="176" t="s">
        <v>61</v>
      </c>
      <c r="B13" s="31">
        <v>34</v>
      </c>
      <c r="C13" s="32">
        <v>17</v>
      </c>
      <c r="D13" s="38">
        <v>0</v>
      </c>
      <c r="E13" s="71">
        <f>'Doc. Téc, Bolsistas e Eventos'!E11</f>
        <v>23.354798691778505</v>
      </c>
      <c r="F13" s="72">
        <f>'Doc. Téc, Bolsistas e Eventos'!I11</f>
        <v>0</v>
      </c>
      <c r="G13" s="39">
        <v>0</v>
      </c>
      <c r="H13" s="149">
        <f>'Prod. Científica'!H13</f>
        <v>0</v>
      </c>
      <c r="I13" s="79">
        <v>0.75</v>
      </c>
      <c r="J13" s="83">
        <f>I13+(B13/B44)*B6+(C13/C44)*C6+(D13/D44)*D6+(E13/E44)*E6+(F13/F44)*F6+(G13/G44)*G6+H13</f>
        <v>1.4709522204647665</v>
      </c>
      <c r="K13" s="36"/>
    </row>
    <row r="14" spans="1:11" s="37" customFormat="1" ht="12">
      <c r="A14" s="176" t="s">
        <v>5</v>
      </c>
      <c r="B14" s="31">
        <v>0</v>
      </c>
      <c r="C14" s="32">
        <v>1</v>
      </c>
      <c r="D14" s="38">
        <v>0</v>
      </c>
      <c r="E14" s="71">
        <f>'Doc. Téc, Bolsistas e Eventos'!E12</f>
        <v>38.789331228149315</v>
      </c>
      <c r="F14" s="72">
        <f>'Doc. Téc, Bolsistas e Eventos'!I12</f>
        <v>0</v>
      </c>
      <c r="G14" s="39">
        <v>0</v>
      </c>
      <c r="H14" s="149">
        <f>'Prod. Científica'!H14</f>
        <v>0</v>
      </c>
      <c r="I14" s="79">
        <v>0.93330000000000002</v>
      </c>
      <c r="J14" s="83">
        <f>I14+(B14/B44)*B6+(C14/C44)*C6+(D14/D44)*D6+(E14/E44)*E6+(F14/F44)*F6+(G14/G44)*G6+H14</f>
        <v>1.0461186879034885</v>
      </c>
      <c r="K14" s="36"/>
    </row>
    <row r="15" spans="1:11" s="37" customFormat="1" ht="12">
      <c r="A15" s="176" t="s">
        <v>6</v>
      </c>
      <c r="B15" s="31">
        <v>10</v>
      </c>
      <c r="C15" s="32">
        <v>3</v>
      </c>
      <c r="D15" s="38">
        <v>1005241.09</v>
      </c>
      <c r="E15" s="71">
        <f>'Doc. Téc, Bolsistas e Eventos'!E13</f>
        <v>91</v>
      </c>
      <c r="F15" s="72">
        <f>'Doc. Téc, Bolsistas e Eventos'!I13</f>
        <v>0</v>
      </c>
      <c r="G15" s="39">
        <v>0</v>
      </c>
      <c r="H15" s="149">
        <f>'Prod. Científica'!H15</f>
        <v>0</v>
      </c>
      <c r="I15" s="79">
        <v>0.93330000000000002</v>
      </c>
      <c r="J15" s="83">
        <f>I15+(B15/B44)*B6+(C15/C44)*C6+(D15/D44)*D6+(E15/E44)*E6+(F15/F44)*F6+(G15/G44)*G6+H15</f>
        <v>1.4938013170800757</v>
      </c>
      <c r="K15" s="36"/>
    </row>
    <row r="16" spans="1:11" s="37" customFormat="1" ht="12">
      <c r="A16" s="176" t="s">
        <v>7</v>
      </c>
      <c r="B16" s="31">
        <v>0</v>
      </c>
      <c r="C16" s="32">
        <v>1</v>
      </c>
      <c r="D16" s="38">
        <f>18000+659468*0.5+560000</f>
        <v>907734</v>
      </c>
      <c r="E16" s="71">
        <f>'Doc. Téc, Bolsistas e Eventos'!E14</f>
        <v>53.756400135333244</v>
      </c>
      <c r="F16" s="72">
        <f>'Doc. Téc, Bolsistas e Eventos'!I14</f>
        <v>0</v>
      </c>
      <c r="G16" s="39">
        <v>2</v>
      </c>
      <c r="H16" s="149">
        <f>'Prod. Científica'!H16</f>
        <v>0</v>
      </c>
      <c r="I16" s="79">
        <v>0.93330000000000002</v>
      </c>
      <c r="J16" s="83">
        <f>I16+(B16/B44)*B6+(C16/C44)*C6+(D16/D44)*D6+(E16/E44)*E6+(F16/F44)*F6+(G16/G44)*G6+H16</f>
        <v>1.2673783176250928</v>
      </c>
      <c r="K16" s="36"/>
    </row>
    <row r="17" spans="1:11" s="37" customFormat="1" ht="14.25" customHeight="1">
      <c r="A17" s="176" t="s">
        <v>18</v>
      </c>
      <c r="B17" s="31"/>
      <c r="C17" s="32"/>
      <c r="D17" s="40"/>
      <c r="E17" s="72">
        <f>'Doc. Téc, Bolsistas e Eventos'!E15</f>
        <v>0</v>
      </c>
      <c r="F17" s="72">
        <f>'Doc. Téc, Bolsistas e Eventos'!I15</f>
        <v>0</v>
      </c>
      <c r="G17" s="41"/>
      <c r="H17" s="149">
        <f>'Prod. Científica'!H17</f>
        <v>0</v>
      </c>
      <c r="I17" s="79">
        <v>2</v>
      </c>
      <c r="J17" s="83">
        <f>I17+(B17/B44)*B6+(C17/C44)*C6+(D17/D44)*D6+(E17/E44)*E6+(F17/F44)*F6+(G17/G44)*G6+H17</f>
        <v>2</v>
      </c>
      <c r="K17" s="36"/>
    </row>
    <row r="18" spans="1:11" s="37" customFormat="1" ht="12">
      <c r="A18" s="176" t="s">
        <v>8</v>
      </c>
      <c r="B18" s="31">
        <v>5</v>
      </c>
      <c r="C18" s="32">
        <v>10</v>
      </c>
      <c r="D18" s="38">
        <f>0.2*93600+96000*0.33+25000*0.25+50000*0.85+4880*0.3333</f>
        <v>100776.504</v>
      </c>
      <c r="E18" s="71">
        <f>'Doc. Téc, Bolsistas e Eventos'!E16</f>
        <v>75.864441186421558</v>
      </c>
      <c r="F18" s="72">
        <f>'Doc. Téc, Bolsistas e Eventos'!I16</f>
        <v>0.66600000000000004</v>
      </c>
      <c r="G18" s="39">
        <v>1</v>
      </c>
      <c r="H18" s="149">
        <f>'Prod. Científica'!H18</f>
        <v>8.2625833838690117E-3</v>
      </c>
      <c r="I18" s="79">
        <v>0.93330000000000002</v>
      </c>
      <c r="J18" s="83">
        <f>I18+(B18/B44)*B6+(C18/C44)*C6+(D18/D44)*D6+(E18/E44)*E6+(F18/F44)*F6+(G18/G44)*G6+H18</f>
        <v>1.4071454132890793</v>
      </c>
      <c r="K18" s="36"/>
    </row>
    <row r="19" spans="1:11" s="37" customFormat="1" ht="12">
      <c r="A19" s="176" t="s">
        <v>15</v>
      </c>
      <c r="B19" s="31">
        <v>2</v>
      </c>
      <c r="C19" s="32">
        <v>13</v>
      </c>
      <c r="D19" s="38">
        <v>0</v>
      </c>
      <c r="E19" s="71">
        <f>'Doc. Téc, Bolsistas e Eventos'!E17</f>
        <v>109.68546295252058</v>
      </c>
      <c r="F19" s="72">
        <f>'Doc. Téc, Bolsistas e Eventos'!I17</f>
        <v>3</v>
      </c>
      <c r="G19" s="39">
        <v>0</v>
      </c>
      <c r="H19" s="149">
        <f>'Prod. Científica'!H19</f>
        <v>2.0656458459672528E-2</v>
      </c>
      <c r="I19" s="79">
        <v>1.4186000000000001</v>
      </c>
      <c r="J19" s="83">
        <f>I19+(B19/B44)*B6+(C19/C44)*C6+(D19/D44)*D6+(E19/E44)*E6+(F19/F44)*F6+(G19/G44)*G6+H19</f>
        <v>2.0320333661707073</v>
      </c>
      <c r="K19" s="36"/>
    </row>
    <row r="20" spans="1:11" s="37" customFormat="1" ht="12">
      <c r="A20" s="176" t="s">
        <v>16</v>
      </c>
      <c r="B20" s="31">
        <v>28</v>
      </c>
      <c r="C20" s="32">
        <v>22</v>
      </c>
      <c r="D20" s="38">
        <v>0</v>
      </c>
      <c r="E20" s="72">
        <f>'Doc. Téc, Bolsistas e Eventos'!E18</f>
        <v>190.65377241457088</v>
      </c>
      <c r="F20" s="72">
        <f>'Doc. Téc, Bolsistas e Eventos'!I18</f>
        <v>4</v>
      </c>
      <c r="G20" s="39">
        <v>0</v>
      </c>
      <c r="H20" s="149">
        <f>'Prod. Científica'!H20</f>
        <v>0.31397816858702243</v>
      </c>
      <c r="I20" s="79">
        <v>1.4186000000000001</v>
      </c>
      <c r="J20" s="83">
        <f>I20+(B20/B44)*B6+(C20/C44)*C6+(D20/D44)*D6+(E20/E44)*E6+(F20/F44)*F6+(G20/G44)*G6+H20</f>
        <v>2.9726666918774614</v>
      </c>
      <c r="K20" s="36"/>
    </row>
    <row r="21" spans="1:11" s="37" customFormat="1" ht="12">
      <c r="A21" s="176" t="s">
        <v>50</v>
      </c>
      <c r="B21" s="31">
        <v>35</v>
      </c>
      <c r="C21" s="32">
        <v>18</v>
      </c>
      <c r="D21" s="38">
        <f>42500+98241</f>
        <v>140741</v>
      </c>
      <c r="E21" s="71">
        <f>'Doc. Téc, Bolsistas e Eventos'!E19</f>
        <v>127.55328747039584</v>
      </c>
      <c r="F21" s="72">
        <f>'Doc. Téc, Bolsistas e Eventos'!I19</f>
        <v>15.5</v>
      </c>
      <c r="G21" s="39">
        <v>2</v>
      </c>
      <c r="H21" s="149">
        <f>'Prod. Científica'!H21</f>
        <v>0.84278350515463918</v>
      </c>
      <c r="I21" s="79">
        <v>1.4186000000000001</v>
      </c>
      <c r="J21" s="84">
        <f>I21+(B21/B44)*B6+(C21/C44)*C6+(D21/D44)*D6+(E21/E44)*E6+(F21/F44)*F6+(G21/G44)*G6+H21</f>
        <v>3.6162155116138006</v>
      </c>
      <c r="K21" s="36"/>
    </row>
    <row r="22" spans="1:11" s="37" customFormat="1" ht="12">
      <c r="A22" s="176" t="s">
        <v>17</v>
      </c>
      <c r="B22" s="31">
        <v>15</v>
      </c>
      <c r="C22" s="32">
        <v>13</v>
      </c>
      <c r="D22" s="38">
        <v>0</v>
      </c>
      <c r="E22" s="71">
        <f>'Doc. Téc, Bolsistas e Eventos'!E20</f>
        <v>60.996052779970675</v>
      </c>
      <c r="F22" s="72">
        <f>'Doc. Téc, Bolsistas e Eventos'!I20</f>
        <v>2</v>
      </c>
      <c r="G22" s="39">
        <v>0</v>
      </c>
      <c r="H22" s="149">
        <f>'Prod. Científica'!H22</f>
        <v>0.54119921164342022</v>
      </c>
      <c r="I22" s="79">
        <v>1.4186000000000001</v>
      </c>
      <c r="J22" s="83">
        <f>I22+(B22/B44)*B6+(C22/C44)*C6+(D22/D44)*D6+(E22/E44)*E6+(F22/F44)*F6+(G22/G44)*G6+H22</f>
        <v>2.5450661160605303</v>
      </c>
    </row>
    <row r="23" spans="1:11" s="37" customFormat="1" ht="12">
      <c r="A23" s="176" t="s">
        <v>19</v>
      </c>
      <c r="B23" s="31">
        <v>28</v>
      </c>
      <c r="C23" s="32">
        <v>18</v>
      </c>
      <c r="D23" s="38">
        <f>30000*0.5+2092095*0.5+115245+30000*0.5</f>
        <v>1191292.5</v>
      </c>
      <c r="E23" s="71">
        <f>'Doc. Téc, Bolsistas e Eventos'!E21</f>
        <v>228.99199278222622</v>
      </c>
      <c r="F23" s="72">
        <f>'Doc. Téc, Bolsistas e Eventos'!I21</f>
        <v>7.5</v>
      </c>
      <c r="G23" s="39">
        <v>3</v>
      </c>
      <c r="H23" s="149">
        <f>'Prod. Científica'!H23</f>
        <v>4.1271604002425706</v>
      </c>
      <c r="I23" s="79">
        <v>1.4186000000000001</v>
      </c>
      <c r="J23" s="83">
        <f>I23+(B23/B44)*B6+(C23/C44)*C6+(D23/D44)*D6+(E23/E44)*E6+(F23/F44)*F6+(G23/G44)*G6+H23</f>
        <v>7.1182135967672293</v>
      </c>
    </row>
    <row r="24" spans="1:11" s="37" customFormat="1" ht="12">
      <c r="A24" s="176" t="s">
        <v>20</v>
      </c>
      <c r="B24" s="31">
        <v>22</v>
      </c>
      <c r="C24" s="32">
        <v>12</v>
      </c>
      <c r="D24" s="38">
        <f>52928+216000*0.5+0.5*78000+50000+0.2*593528</f>
        <v>368633.59999999998</v>
      </c>
      <c r="E24" s="72">
        <f>'Doc. Téc, Bolsistas e Eventos'!E22</f>
        <v>159.96515168602684</v>
      </c>
      <c r="F24" s="72">
        <f>'Doc. Téc, Bolsistas e Eventos'!I22</f>
        <v>7</v>
      </c>
      <c r="G24" s="39">
        <v>0</v>
      </c>
      <c r="H24" s="149">
        <f>'Prod. Científica'!H24</f>
        <v>0.14459520921770772</v>
      </c>
      <c r="I24" s="79">
        <v>1.4186000000000001</v>
      </c>
      <c r="J24" s="83">
        <f>I24+(B24/B44)*B6+(C24/C44)*C6+(D24/D44)*D6+(E24/E44)*E6+(F24/F44)*F6+(G24/G44)*G6+H24</f>
        <v>2.60504491493097</v>
      </c>
    </row>
    <row r="25" spans="1:11" s="37" customFormat="1" ht="12">
      <c r="A25" s="176" t="s">
        <v>25</v>
      </c>
      <c r="B25" s="31">
        <v>38</v>
      </c>
      <c r="C25" s="32">
        <v>46</v>
      </c>
      <c r="D25" s="38">
        <v>0</v>
      </c>
      <c r="E25" s="71">
        <f>'Doc. Téc, Bolsistas e Eventos'!E23</f>
        <v>139.87481673621292</v>
      </c>
      <c r="F25" s="72">
        <f>'Doc. Téc, Bolsistas e Eventos'!I23</f>
        <v>5</v>
      </c>
      <c r="G25" s="39">
        <v>1</v>
      </c>
      <c r="H25" s="149">
        <f>'Prod. Científica'!H25</f>
        <v>1.4790024257125531</v>
      </c>
      <c r="I25" s="79">
        <v>1.4186000000000001</v>
      </c>
      <c r="J25" s="83">
        <f>I25+(B25/B44)*B6+(C25/C44)*C6+(D25/D44)*D6+(E25/E44)*E6+(F25/F44)*F6+(G25/G44)*G6+H25</f>
        <v>4.6027592237074977</v>
      </c>
    </row>
    <row r="26" spans="1:11" s="37" customFormat="1" ht="12">
      <c r="A26" s="176" t="s">
        <v>9</v>
      </c>
      <c r="B26" s="31">
        <v>36</v>
      </c>
      <c r="C26" s="32">
        <v>25</v>
      </c>
      <c r="D26" s="38">
        <v>479568</v>
      </c>
      <c r="E26" s="71">
        <f>'Doc. Téc, Bolsistas e Eventos'!E24</f>
        <v>114.24777264012631</v>
      </c>
      <c r="F26" s="72">
        <f>'Doc. Téc, Bolsistas e Eventos'!I24</f>
        <v>9</v>
      </c>
      <c r="G26" s="39">
        <v>0</v>
      </c>
      <c r="H26" s="149">
        <f>'Prod. Científica'!H26</f>
        <v>1.7144860521528198</v>
      </c>
      <c r="I26" s="79">
        <v>1.4186000000000001</v>
      </c>
      <c r="J26" s="83">
        <f>I26+(B26/B44)*B6+(C26/C44)*C6+(D26/D44)*D6+(E26/E44)*E6+(F26/F44)*F6+(G26/G44)*G6+H26</f>
        <v>4.5125766227596937</v>
      </c>
    </row>
    <row r="27" spans="1:11" s="37" customFormat="1" ht="12">
      <c r="A27" s="176" t="s">
        <v>10</v>
      </c>
      <c r="B27" s="31">
        <v>20</v>
      </c>
      <c r="C27" s="32">
        <v>43</v>
      </c>
      <c r="D27" s="38">
        <f>18980+0.5*9093000+7200+2800+2029+0.5*659468</f>
        <v>4907243</v>
      </c>
      <c r="E27" s="71">
        <f>'Doc. Téc, Bolsistas e Eventos'!E25</f>
        <v>98.575166347129809</v>
      </c>
      <c r="F27" s="72">
        <f>'Doc. Téc, Bolsistas e Eventos'!I25</f>
        <v>0</v>
      </c>
      <c r="G27" s="39">
        <v>5</v>
      </c>
      <c r="H27" s="149">
        <f>'Prod. Científica'!H27</f>
        <v>0.16525166767738023</v>
      </c>
      <c r="I27" s="79">
        <v>1.4186000000000001</v>
      </c>
      <c r="J27" s="83">
        <f>I27+(B27/B44)*B6+(C27/C44)*C6+(D27/D44)*D6+(E27/E44)*E6+(F27/F44)*F6+(G27/G44)*G6+H27</f>
        <v>3.7867427290746227</v>
      </c>
    </row>
    <row r="28" spans="1:11" s="37" customFormat="1" ht="12">
      <c r="A28" s="176" t="s">
        <v>21</v>
      </c>
      <c r="B28" s="31">
        <v>7</v>
      </c>
      <c r="C28" s="32">
        <v>40</v>
      </c>
      <c r="D28" s="38">
        <v>14000.99</v>
      </c>
      <c r="E28" s="71">
        <f>'Doc. Téc, Bolsistas e Eventos'!E26</f>
        <v>33.64238186534341</v>
      </c>
      <c r="F28" s="72">
        <f>'Doc. Téc, Bolsistas e Eventos'!I26</f>
        <v>108</v>
      </c>
      <c r="G28" s="39">
        <v>9</v>
      </c>
      <c r="H28" s="149">
        <f>'Prod. Científica'!H28</f>
        <v>0</v>
      </c>
      <c r="I28" s="79">
        <v>0.75</v>
      </c>
      <c r="J28" s="83">
        <f>I28+(B28/B44)*B6+(C28/C44)*C6+(D28/D44)*D6+(E28/E44)*E6+(F28/F44)*F6+(G28/G44)*G6+H28</f>
        <v>3.900026991940388</v>
      </c>
    </row>
    <row r="29" spans="1:11" s="37" customFormat="1" ht="12">
      <c r="A29" s="176" t="s">
        <v>11</v>
      </c>
      <c r="B29" s="31">
        <v>4</v>
      </c>
      <c r="C29" s="32">
        <v>11</v>
      </c>
      <c r="D29" s="38">
        <v>0</v>
      </c>
      <c r="E29" s="71">
        <f>'Doc. Téc, Bolsistas e Eventos'!E27</f>
        <v>18.82688620728544</v>
      </c>
      <c r="F29" s="72">
        <f>'Doc. Téc, Bolsistas e Eventos'!I27</f>
        <v>0</v>
      </c>
      <c r="G29" s="39">
        <v>5</v>
      </c>
      <c r="H29" s="149">
        <f>'Prod. Científica'!H29</f>
        <v>0</v>
      </c>
      <c r="I29" s="79">
        <v>0.75</v>
      </c>
      <c r="J29" s="83">
        <f>I29+(B29/B44)*B6+(C29/C44)*C6+(D29/D44)*D6+(E29/E44)*E6+(F29/F44)*F6+(G29/G44)*G6+H29</f>
        <v>1.0943103327246766</v>
      </c>
    </row>
    <row r="30" spans="1:11" s="37" customFormat="1" ht="12">
      <c r="A30" s="176" t="s">
        <v>24</v>
      </c>
      <c r="B30" s="31">
        <v>9</v>
      </c>
      <c r="C30" s="32">
        <v>5</v>
      </c>
      <c r="D30" s="38">
        <v>0</v>
      </c>
      <c r="E30" s="71">
        <f>'Doc. Téc, Bolsistas e Eventos'!E28</f>
        <v>14.67666629074095</v>
      </c>
      <c r="F30" s="72">
        <f>'Doc. Téc, Bolsistas e Eventos'!I28</f>
        <v>3</v>
      </c>
      <c r="G30" s="39">
        <v>0</v>
      </c>
      <c r="H30" s="149">
        <f>'Prod. Científica'!H30</f>
        <v>0</v>
      </c>
      <c r="I30" s="79">
        <v>0.75</v>
      </c>
      <c r="J30" s="83">
        <f>I30+(B30/B44)*B6+(C30/C44)*C6+(D30/D44)*D6+(E30/E44)*E6+(F30/F44)*F6+(G30/G44)*G6+H30</f>
        <v>1.0304859790068428</v>
      </c>
    </row>
    <row r="31" spans="1:11" s="37" customFormat="1" ht="12">
      <c r="A31" s="177" t="s">
        <v>12</v>
      </c>
      <c r="B31" s="42">
        <v>9</v>
      </c>
      <c r="C31" s="43">
        <v>24</v>
      </c>
      <c r="D31" s="44">
        <v>0</v>
      </c>
      <c r="E31" s="73">
        <f>'Doc. Téc, Bolsistas e Eventos'!E29</f>
        <v>98.973384459230857</v>
      </c>
      <c r="F31" s="73">
        <f>'Doc. Téc, Bolsistas e Eventos'!I29</f>
        <v>0</v>
      </c>
      <c r="G31" s="34">
        <v>0</v>
      </c>
      <c r="H31" s="149">
        <f>'Prod. Científica'!H31</f>
        <v>1.0493480897513645</v>
      </c>
      <c r="I31" s="143">
        <v>1.4186000000000001</v>
      </c>
      <c r="J31" s="83">
        <f>I31+(B31/B44)*B6+(C31/C44)*C6+(D31/D44)*D6+(E31/E44)*E6+(F31/F44)*F6+(G31/G44)*G6+H31</f>
        <v>3.2552480007252464</v>
      </c>
    </row>
    <row r="32" spans="1:11" s="37" customFormat="1" ht="12">
      <c r="A32" s="176" t="s">
        <v>37</v>
      </c>
      <c r="B32" s="45">
        <v>8</v>
      </c>
      <c r="C32" s="34">
        <v>40</v>
      </c>
      <c r="D32" s="44">
        <v>117793.72</v>
      </c>
      <c r="E32" s="74">
        <f>'Doc. Téc, Bolsistas e Eventos'!E30</f>
        <v>16.706665162963798</v>
      </c>
      <c r="F32" s="73">
        <f>'Doc. Téc, Bolsistas e Eventos'!I30</f>
        <v>0</v>
      </c>
      <c r="G32" s="34">
        <v>0</v>
      </c>
      <c r="H32" s="149">
        <f>'Prod. Científica'!H32</f>
        <v>0</v>
      </c>
      <c r="I32" s="144">
        <v>0.75</v>
      </c>
      <c r="J32" s="83">
        <f>I32+(B32/B44)*B6+(C32/C44)*C6+(D32/D44)*D6+(E32/E44)*E6+(F32/F44)*F6+(G32/G44)*G6+H32</f>
        <v>1.6554262988859387</v>
      </c>
    </row>
    <row r="33" spans="1:11" s="37" customFormat="1" ht="12">
      <c r="A33" s="176" t="s">
        <v>35</v>
      </c>
      <c r="B33" s="45">
        <v>43</v>
      </c>
      <c r="C33" s="34">
        <v>31</v>
      </c>
      <c r="D33" s="44">
        <f>724815+3590056.8*0.5+39600+9000+55000*0.5+96000*0.3333+25000*0.75+50000*0.15+4880*0.3333+2880+5880+1200*0.5+749984</f>
        <v>3415160.7039999999</v>
      </c>
      <c r="E33" s="74">
        <f>'Doc. Téc, Bolsistas e Eventos'!E31</f>
        <v>126.4671252960415</v>
      </c>
      <c r="F33" s="73">
        <f>'Doc. Téc, Bolsistas e Eventos'!I31</f>
        <v>5</v>
      </c>
      <c r="G33" s="34">
        <v>6</v>
      </c>
      <c r="H33" s="149">
        <f>'Prod. Científica'!H33</f>
        <v>1.9169193450576107</v>
      </c>
      <c r="I33" s="144">
        <v>1.4186000000000001</v>
      </c>
      <c r="J33" s="83">
        <f>I33+(B33/B44)*B6+(C33/C44)*C6+(D33/D44)*D6+(E33/E44)*E6+(F33/F44)*F6+(G33/G44)*G6+H33</f>
        <v>5.4436572124033127</v>
      </c>
    </row>
    <row r="34" spans="1:11" s="37" customFormat="1" ht="12">
      <c r="A34" s="176" t="s">
        <v>62</v>
      </c>
      <c r="B34" s="46">
        <v>11</v>
      </c>
      <c r="C34" s="39">
        <v>10</v>
      </c>
      <c r="D34" s="38">
        <f>30000*0.5+2092095*0.5+30000*0.5</f>
        <v>1076047.5</v>
      </c>
      <c r="E34" s="71">
        <f>'Doc. Téc, Bolsistas e Eventos'!E32</f>
        <v>14.433066426074207</v>
      </c>
      <c r="F34" s="72">
        <f>'Doc. Téc, Bolsistas e Eventos'!I32</f>
        <v>3</v>
      </c>
      <c r="G34" s="34">
        <v>3</v>
      </c>
      <c r="H34" s="149">
        <f>'Prod. Científica'!H34</f>
        <v>0</v>
      </c>
      <c r="I34" s="79">
        <v>0.75</v>
      </c>
      <c r="J34" s="85">
        <f>I34+(B34/B44)*B6+(C34/C44)*C6+(D34/D44)*D6+(E34/E44)*E6+(F34/F44)*F6+(G34/G44)*G6+H34</f>
        <v>1.3709029457869608</v>
      </c>
    </row>
    <row r="35" spans="1:11" s="37" customFormat="1" ht="12">
      <c r="A35" s="178" t="s">
        <v>51</v>
      </c>
      <c r="B35" s="47">
        <v>10</v>
      </c>
      <c r="C35" s="34">
        <v>38</v>
      </c>
      <c r="D35" s="38">
        <f>0.5*1733650</f>
        <v>866825</v>
      </c>
      <c r="E35" s="71">
        <f>'Doc. Téc, Bolsistas e Eventos'!E33</f>
        <v>91</v>
      </c>
      <c r="F35" s="72">
        <f>'Doc. Téc, Bolsistas e Eventos'!I33</f>
        <v>0</v>
      </c>
      <c r="G35" s="34">
        <v>1</v>
      </c>
      <c r="H35" s="149">
        <f>'Prod. Científica'!H35</f>
        <v>0.57011825348696177</v>
      </c>
      <c r="I35" s="145">
        <v>1.4186000000000001</v>
      </c>
      <c r="J35" s="85">
        <f>I35+(B35/B44)*B6+(C35/C44)*C6+(D35/D44)*D6+(E35/E44)*E6+(F35/F44)*F6+(G35/G44)*G6+H35</f>
        <v>3.2018672843807341</v>
      </c>
      <c r="K35" s="48"/>
    </row>
    <row r="36" spans="1:11" s="37" customFormat="1" ht="12">
      <c r="A36" s="176" t="s">
        <v>52</v>
      </c>
      <c r="B36" s="45">
        <v>12</v>
      </c>
      <c r="C36" s="34">
        <v>37</v>
      </c>
      <c r="D36" s="38">
        <v>0</v>
      </c>
      <c r="E36" s="71">
        <f>'Doc. Téc, Bolsistas e Eventos'!E34</f>
        <v>98.57866245629863</v>
      </c>
      <c r="F36" s="72">
        <f>'Doc. Téc, Bolsistas e Eventos'!I34</f>
        <v>15.5</v>
      </c>
      <c r="G36" s="34">
        <v>0</v>
      </c>
      <c r="H36" s="149">
        <f>'Prod. Científica'!H36</f>
        <v>0.73123862947240748</v>
      </c>
      <c r="I36" s="145">
        <v>1.4186000000000001</v>
      </c>
      <c r="J36" s="85">
        <f>I36+(B36/B44)*B6+(C36/C44)*C6+(D36/D44)*D6+(E36/E44)*E6+(F36/F44)*F6+(G36/G44)*G6+H36</f>
        <v>3.5221507568338217</v>
      </c>
      <c r="K36" s="48"/>
    </row>
    <row r="37" spans="1:11" s="37" customFormat="1" ht="12">
      <c r="A37" s="176" t="s">
        <v>53</v>
      </c>
      <c r="B37" s="47">
        <v>6</v>
      </c>
      <c r="C37" s="34">
        <v>11</v>
      </c>
      <c r="D37" s="38">
        <v>0</v>
      </c>
      <c r="E37" s="71">
        <f>'Doc. Téc, Bolsistas e Eventos'!E35</f>
        <v>23.714672380737568</v>
      </c>
      <c r="F37" s="72">
        <f>'Doc. Téc, Bolsistas e Eventos'!I35</f>
        <v>3</v>
      </c>
      <c r="G37" s="34">
        <v>20</v>
      </c>
      <c r="H37" s="149">
        <f>'Prod. Científica'!H37</f>
        <v>0</v>
      </c>
      <c r="I37" s="145">
        <v>0.75</v>
      </c>
      <c r="J37" s="85">
        <f>I37+(B37/B44)*B6+(C37/C44)*C6+(D37/D44)*D6+(E37/E44)*E6+(F37/F44)*F6+(G37/G44)*G6+H37</f>
        <v>1.332201548246599</v>
      </c>
      <c r="K37" s="48"/>
    </row>
    <row r="38" spans="1:11" s="37" customFormat="1" ht="12">
      <c r="A38" s="176" t="s">
        <v>58</v>
      </c>
      <c r="B38" s="47">
        <v>3</v>
      </c>
      <c r="C38" s="34">
        <v>4</v>
      </c>
      <c r="D38" s="38">
        <v>0</v>
      </c>
      <c r="E38" s="71">
        <f>'Doc. Téc, Bolsistas e Eventos'!E36</f>
        <v>14.568399684222397</v>
      </c>
      <c r="F38" s="72">
        <f>'Doc. Téc, Bolsistas e Eventos'!I36</f>
        <v>0</v>
      </c>
      <c r="G38" s="34">
        <v>3</v>
      </c>
      <c r="H38" s="149">
        <f>'Prod. Científica'!H38</f>
        <v>0</v>
      </c>
      <c r="I38" s="145">
        <v>0.75</v>
      </c>
      <c r="J38" s="85">
        <f>I38+(B38/B44)*B6+(C38/C44)*C6+(D38/D44)*D6+(E38/E44)*E6+(F38/F44)*F6+(G38/G44)*G6+H38</f>
        <v>0.92086098514262982</v>
      </c>
      <c r="K38" s="48"/>
    </row>
    <row r="39" spans="1:11" s="37" customFormat="1" ht="12">
      <c r="A39" s="176" t="s">
        <v>54</v>
      </c>
      <c r="B39" s="45">
        <v>2</v>
      </c>
      <c r="C39" s="34">
        <v>2</v>
      </c>
      <c r="D39" s="38">
        <v>0</v>
      </c>
      <c r="E39" s="71">
        <f>'Doc. Téc, Bolsistas e Eventos'!E37</f>
        <v>18.574264125408821</v>
      </c>
      <c r="F39" s="72">
        <f>'Doc. Téc, Bolsistas e Eventos'!I37</f>
        <v>0</v>
      </c>
      <c r="G39" s="34">
        <v>2</v>
      </c>
      <c r="H39" s="149">
        <f>'Prod. Científica'!H39</f>
        <v>0</v>
      </c>
      <c r="I39" s="145">
        <v>0.75</v>
      </c>
      <c r="J39" s="85">
        <f>I39+(B39/B44)*B6+(C39/C44)*C6+(D39/D44)*D6+(E39/E44)*E6+(F39/F44)*F6+(G39/G44)*G6+H39</f>
        <v>0.87259497618127235</v>
      </c>
      <c r="K39" s="48"/>
    </row>
    <row r="40" spans="1:11" s="37" customFormat="1" ht="12">
      <c r="A40" s="176" t="s">
        <v>55</v>
      </c>
      <c r="B40" s="47">
        <v>4</v>
      </c>
      <c r="C40" s="34">
        <v>3</v>
      </c>
      <c r="D40" s="38">
        <v>0</v>
      </c>
      <c r="E40" s="71">
        <f>'Doc. Téc, Bolsistas e Eventos'!E38</f>
        <v>18.664486297507612</v>
      </c>
      <c r="F40" s="72">
        <f>'Doc. Téc, Bolsistas e Eventos'!I38</f>
        <v>2</v>
      </c>
      <c r="G40" s="34">
        <v>0</v>
      </c>
      <c r="H40" s="149">
        <f>'Prod. Científica'!H40</f>
        <v>0</v>
      </c>
      <c r="I40" s="145">
        <v>0.75</v>
      </c>
      <c r="J40" s="85">
        <f>I40+(B40/B44)*B6+(C40/C44)*C6+(D40/D44)*D6+(E40/E44)*E6+(F40/F44)*F6+(G40/G44)*G6+H40</f>
        <v>0.93208501311415559</v>
      </c>
      <c r="K40" s="48"/>
    </row>
    <row r="41" spans="1:11" s="37" customFormat="1" ht="12">
      <c r="A41" s="176" t="s">
        <v>56</v>
      </c>
      <c r="B41" s="47">
        <v>3</v>
      </c>
      <c r="C41" s="34">
        <v>3</v>
      </c>
      <c r="D41" s="38">
        <v>0</v>
      </c>
      <c r="E41" s="71">
        <f>'Doc. Téc, Bolsistas e Eventos'!E39</f>
        <v>16.327732040148867</v>
      </c>
      <c r="F41" s="72">
        <f>'Doc. Téc, Bolsistas e Eventos'!I39</f>
        <v>15</v>
      </c>
      <c r="G41" s="34">
        <v>1</v>
      </c>
      <c r="H41" s="149">
        <f>'Prod. Científica'!H41</f>
        <v>0</v>
      </c>
      <c r="I41" s="145">
        <v>0.75</v>
      </c>
      <c r="J41" s="85">
        <f>I41+(B41/B44)*B6+(C41/C44)*C6+(D41/D44)*D6+(E41/E44)*E6+(F41/F44)*F6+(G41/G44)*G6+H41</f>
        <v>1.1843645155579889</v>
      </c>
      <c r="K41" s="48"/>
    </row>
    <row r="42" spans="1:11" s="37" customFormat="1" ht="12">
      <c r="A42" s="178" t="s">
        <v>57</v>
      </c>
      <c r="B42" s="47">
        <v>3</v>
      </c>
      <c r="C42" s="34">
        <v>22</v>
      </c>
      <c r="D42" s="38">
        <v>0</v>
      </c>
      <c r="E42" s="71">
        <f>'Doc. Téc, Bolsistas e Eventos'!E40</f>
        <v>14</v>
      </c>
      <c r="F42" s="72">
        <f>'Doc. Téc, Bolsistas e Eventos'!I40</f>
        <v>45.5</v>
      </c>
      <c r="G42" s="34">
        <v>4</v>
      </c>
      <c r="H42" s="149">
        <f>'Prod. Científica'!H42</f>
        <v>0</v>
      </c>
      <c r="I42" s="145">
        <v>0.75</v>
      </c>
      <c r="J42" s="85">
        <f>I42+(B42/B44)*B6+(C42/C44)*C6+(D42/D44)*D6+(E42/E44)*E6+(F42/F44)*F6+(G42/G44)*G6+H42</f>
        <v>2.1764185418470778</v>
      </c>
      <c r="K42" s="48"/>
    </row>
    <row r="43" spans="1:11" s="37" customFormat="1" thickBot="1">
      <c r="A43" s="177" t="s">
        <v>60</v>
      </c>
      <c r="B43" s="49">
        <v>6</v>
      </c>
      <c r="C43" s="50">
        <v>3</v>
      </c>
      <c r="D43" s="51">
        <v>0</v>
      </c>
      <c r="E43" s="71">
        <f>'Doc. Téc, Bolsistas e Eventos'!E41</f>
        <v>16.26006541107477</v>
      </c>
      <c r="F43" s="72">
        <f>'Doc. Téc, Bolsistas e Eventos'!I41</f>
        <v>0</v>
      </c>
      <c r="G43" s="43">
        <v>0</v>
      </c>
      <c r="H43" s="150">
        <f>'Prod. Científica'!H43</f>
        <v>0</v>
      </c>
      <c r="I43" s="146">
        <v>0.75</v>
      </c>
      <c r="J43" s="85">
        <f>I43+(B43/B44)*B6+(C43/C44)*C6+(D43/D44)*D6+(E43/E44)*E6+(F43/F44)*F6+(G43/G44)*G6+H43</f>
        <v>0.90655828296366048</v>
      </c>
    </row>
    <row r="44" spans="1:11" s="37" customFormat="1" thickBot="1">
      <c r="A44" s="52" t="s">
        <v>13</v>
      </c>
      <c r="B44" s="53">
        <f t="shared" ref="B44:J44" si="0">SUM(B7:B43)</f>
        <v>436</v>
      </c>
      <c r="C44" s="54">
        <f t="shared" si="0"/>
        <v>571</v>
      </c>
      <c r="D44" s="55">
        <f t="shared" si="0"/>
        <v>14940692.478400001</v>
      </c>
      <c r="E44" s="75">
        <f t="shared" si="0"/>
        <v>2255.4494191947674</v>
      </c>
      <c r="F44" s="75">
        <f t="shared" si="0"/>
        <v>329.33199999999999</v>
      </c>
      <c r="G44" s="56">
        <f t="shared" si="0"/>
        <v>279</v>
      </c>
      <c r="H44" s="151">
        <f t="shared" si="0"/>
        <v>13.625</v>
      </c>
      <c r="I44" s="80">
        <f t="shared" si="0"/>
        <v>53.674999999999983</v>
      </c>
      <c r="J44" s="86">
        <f t="shared" si="0"/>
        <v>100.00000000000003</v>
      </c>
    </row>
    <row r="45" spans="1:11" ht="11.1" customHeight="1">
      <c r="A45" s="179"/>
      <c r="B45" s="180"/>
      <c r="C45" s="180"/>
      <c r="D45" s="180"/>
      <c r="E45" s="180"/>
      <c r="F45" s="180"/>
      <c r="G45" s="180"/>
      <c r="H45" s="180"/>
      <c r="I45" s="180"/>
      <c r="J45" s="181"/>
    </row>
    <row r="46" spans="1:11" ht="11.1" customHeight="1">
      <c r="A46" s="182"/>
      <c r="B46" s="183"/>
      <c r="C46" s="183"/>
      <c r="D46" s="183"/>
      <c r="E46" s="183"/>
      <c r="F46" s="183"/>
      <c r="G46" s="183"/>
      <c r="H46" s="183"/>
      <c r="I46" s="183"/>
      <c r="J46" s="184"/>
    </row>
    <row r="47" spans="1:11" ht="11.1" customHeight="1">
      <c r="A47" s="182"/>
      <c r="B47" s="183"/>
      <c r="C47" s="183"/>
      <c r="D47" s="183"/>
      <c r="E47" s="183"/>
      <c r="F47" s="183"/>
      <c r="G47" s="183"/>
      <c r="H47" s="183"/>
      <c r="I47" s="183"/>
      <c r="J47" s="184"/>
    </row>
    <row r="48" spans="1:11" ht="11.1" customHeight="1">
      <c r="A48" s="182"/>
      <c r="B48" s="183"/>
      <c r="C48" s="183"/>
      <c r="D48" s="183"/>
      <c r="E48" s="183"/>
      <c r="F48" s="183"/>
      <c r="G48" s="183"/>
      <c r="H48" s="183"/>
      <c r="I48" s="183"/>
      <c r="J48" s="184"/>
    </row>
    <row r="49" spans="1:10" ht="11.1" customHeight="1">
      <c r="A49" s="182"/>
      <c r="B49" s="183"/>
      <c r="C49" s="183"/>
      <c r="D49" s="183"/>
      <c r="E49" s="183"/>
      <c r="F49" s="183"/>
      <c r="G49" s="183"/>
      <c r="H49" s="183"/>
      <c r="I49" s="183"/>
      <c r="J49" s="184"/>
    </row>
    <row r="50" spans="1:10" ht="11.1" customHeight="1">
      <c r="A50" s="182"/>
      <c r="B50" s="183"/>
      <c r="C50" s="183"/>
      <c r="D50" s="183"/>
      <c r="E50" s="183"/>
      <c r="F50" s="183"/>
      <c r="G50" s="183"/>
      <c r="H50" s="183"/>
      <c r="I50" s="183"/>
      <c r="J50" s="184"/>
    </row>
    <row r="51" spans="1:10" ht="11.1" customHeight="1">
      <c r="A51" s="182"/>
      <c r="B51" s="183"/>
      <c r="C51" s="183"/>
      <c r="D51" s="183"/>
      <c r="E51" s="183"/>
      <c r="F51" s="183"/>
      <c r="G51" s="183"/>
      <c r="H51" s="183"/>
      <c r="I51" s="183"/>
      <c r="J51" s="184"/>
    </row>
    <row r="52" spans="1:10" ht="11.1" customHeight="1">
      <c r="A52" s="182"/>
      <c r="B52" s="183"/>
      <c r="C52" s="183"/>
      <c r="D52" s="183"/>
      <c r="E52" s="183"/>
      <c r="F52" s="183"/>
      <c r="G52" s="183"/>
      <c r="H52" s="183"/>
      <c r="I52" s="183"/>
      <c r="J52" s="184"/>
    </row>
    <row r="53" spans="1:10" ht="11.1" customHeight="1" thickBot="1">
      <c r="A53" s="185"/>
      <c r="B53" s="186"/>
      <c r="C53" s="186"/>
      <c r="D53" s="186"/>
      <c r="E53" s="186"/>
      <c r="F53" s="186"/>
      <c r="G53" s="186"/>
      <c r="H53" s="186"/>
      <c r="I53" s="186"/>
      <c r="J53" s="187"/>
    </row>
    <row r="54" spans="1:10">
      <c r="A54" s="5"/>
      <c r="B54" s="5"/>
      <c r="C54" s="5"/>
      <c r="D54" s="10"/>
      <c r="E54" s="5"/>
      <c r="F54" s="5"/>
      <c r="G54" s="5"/>
      <c r="H54" s="5"/>
      <c r="I54" s="6"/>
      <c r="J54" s="7"/>
    </row>
    <row r="55" spans="1:10">
      <c r="A55" s="5"/>
      <c r="B55" s="5"/>
      <c r="C55" s="5"/>
      <c r="D55" s="10"/>
      <c r="E55" s="5"/>
      <c r="F55" s="5"/>
      <c r="G55" s="5"/>
      <c r="H55" s="5"/>
      <c r="I55" s="6"/>
      <c r="J55" s="7"/>
    </row>
    <row r="56" spans="1:10">
      <c r="A56" s="5"/>
      <c r="B56" s="5"/>
      <c r="C56" s="5"/>
      <c r="D56" s="10"/>
      <c r="E56" s="5"/>
      <c r="F56" s="5"/>
      <c r="G56" s="5"/>
      <c r="H56" s="5"/>
      <c r="I56" s="6"/>
      <c r="J56" s="7"/>
    </row>
    <row r="57" spans="1:10">
      <c r="A57" s="5"/>
      <c r="B57" s="5"/>
      <c r="C57" s="5"/>
      <c r="D57" s="10"/>
      <c r="E57" s="5"/>
      <c r="F57" s="5"/>
      <c r="G57" s="5"/>
      <c r="H57" s="5"/>
      <c r="I57" s="6"/>
      <c r="J57" s="7"/>
    </row>
  </sheetData>
  <mergeCells count="2">
    <mergeCell ref="A45:J53"/>
    <mergeCell ref="A1:J4"/>
  </mergeCells>
  <printOptions horizontalCentered="1" verticalCentered="1" gridLinesSet="0"/>
  <pageMargins left="0.78740157480314965" right="0.19685039370078741" top="0.11811023622047245" bottom="0" header="0.7086614173228347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Z48"/>
  <sheetViews>
    <sheetView showGridLines="0" topLeftCell="A4" zoomScale="112" zoomScaleNormal="112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B5" sqref="B5"/>
    </sheetView>
  </sheetViews>
  <sheetFormatPr defaultColWidth="11.42578125" defaultRowHeight="12.75"/>
  <cols>
    <col min="1" max="1" width="3.7109375" customWidth="1"/>
    <col min="2" max="2" width="14.7109375" bestFit="1" customWidth="1"/>
    <col min="3" max="3" width="15.28515625" customWidth="1"/>
    <col min="4" max="4" width="14.140625" customWidth="1"/>
    <col min="5" max="5" width="15.28515625" customWidth="1"/>
    <col min="6" max="6" width="14" bestFit="1" customWidth="1"/>
    <col min="7" max="8" width="11.5703125" bestFit="1" customWidth="1"/>
  </cols>
  <sheetData>
    <row r="2" spans="1:26">
      <c r="A2" s="8"/>
    </row>
    <row r="3" spans="1:26" ht="13.5" thickBot="1">
      <c r="A3" s="8"/>
    </row>
    <row r="4" spans="1:26" ht="13.5" thickBot="1">
      <c r="A4" s="8"/>
      <c r="I4" s="197" t="s">
        <v>63</v>
      </c>
      <c r="J4" s="198"/>
      <c r="K4" s="199" t="s">
        <v>64</v>
      </c>
      <c r="L4" s="200"/>
      <c r="M4" s="200"/>
      <c r="N4" s="200"/>
      <c r="O4" s="200"/>
      <c r="P4" s="200"/>
      <c r="Q4" s="200"/>
      <c r="R4" s="201"/>
      <c r="S4" s="202" t="s">
        <v>70</v>
      </c>
      <c r="T4" s="203"/>
      <c r="U4" s="203"/>
      <c r="V4" s="203"/>
      <c r="W4" s="203"/>
      <c r="X4" s="203"/>
      <c r="Y4" s="203"/>
      <c r="Z4" s="204"/>
    </row>
    <row r="5" spans="1:26" ht="145.5" customHeight="1" thickBot="1">
      <c r="A5" s="9"/>
      <c r="C5" s="183" t="s">
        <v>85</v>
      </c>
      <c r="D5" s="183"/>
      <c r="E5" s="183"/>
      <c r="F5" s="183"/>
      <c r="G5" s="184"/>
      <c r="H5" s="205" t="s">
        <v>100</v>
      </c>
      <c r="I5" s="136" t="s">
        <v>79</v>
      </c>
      <c r="J5" s="136" t="s">
        <v>80</v>
      </c>
      <c r="K5" s="137" t="s">
        <v>65</v>
      </c>
      <c r="L5" s="137" t="s">
        <v>66</v>
      </c>
      <c r="M5" s="137" t="s">
        <v>77</v>
      </c>
      <c r="N5" s="137" t="s">
        <v>67</v>
      </c>
      <c r="O5" s="137" t="s">
        <v>68</v>
      </c>
      <c r="P5" s="137" t="s">
        <v>69</v>
      </c>
      <c r="Q5" s="137" t="s">
        <v>76</v>
      </c>
      <c r="R5" s="137" t="s">
        <v>83</v>
      </c>
      <c r="S5" s="138" t="s">
        <v>81</v>
      </c>
      <c r="T5" s="139" t="s">
        <v>82</v>
      </c>
      <c r="U5" s="139" t="s">
        <v>71</v>
      </c>
      <c r="V5" s="139" t="s">
        <v>72</v>
      </c>
      <c r="W5" s="139" t="s">
        <v>73</v>
      </c>
      <c r="X5" s="139" t="s">
        <v>74</v>
      </c>
      <c r="Y5" s="139" t="s">
        <v>75</v>
      </c>
      <c r="Z5" s="139" t="s">
        <v>78</v>
      </c>
    </row>
    <row r="6" spans="1:26" ht="20.100000000000001" customHeight="1" thickBot="1">
      <c r="A6" s="9"/>
      <c r="B6" s="111" t="s">
        <v>31</v>
      </c>
      <c r="C6" s="133" t="s">
        <v>34</v>
      </c>
      <c r="D6" s="134" t="s">
        <v>84</v>
      </c>
      <c r="E6" s="135" t="s">
        <v>32</v>
      </c>
      <c r="F6" s="207" t="s">
        <v>86</v>
      </c>
      <c r="G6" s="208"/>
      <c r="H6" s="206"/>
      <c r="I6" s="93">
        <v>2</v>
      </c>
      <c r="J6" s="94">
        <v>2</v>
      </c>
      <c r="K6" s="95">
        <v>1</v>
      </c>
      <c r="L6" s="96">
        <v>3</v>
      </c>
      <c r="M6" s="95">
        <v>1</v>
      </c>
      <c r="N6" s="96">
        <v>3</v>
      </c>
      <c r="O6" s="94">
        <v>2</v>
      </c>
      <c r="P6" s="96">
        <v>3</v>
      </c>
      <c r="Q6" s="96">
        <v>3</v>
      </c>
      <c r="R6" s="94">
        <v>2</v>
      </c>
      <c r="S6" s="95">
        <v>1</v>
      </c>
      <c r="T6" s="95">
        <v>1</v>
      </c>
      <c r="U6" s="96">
        <v>3</v>
      </c>
      <c r="V6" s="94">
        <v>2</v>
      </c>
      <c r="W6" s="96">
        <v>3</v>
      </c>
      <c r="X6" s="96">
        <v>3</v>
      </c>
      <c r="Y6" s="96">
        <v>3</v>
      </c>
      <c r="Z6" s="97">
        <v>2</v>
      </c>
    </row>
    <row r="7" spans="1:26" ht="20.100000000000001" customHeight="1">
      <c r="A7" s="9"/>
      <c r="B7" s="112" t="s">
        <v>0</v>
      </c>
      <c r="C7" s="90">
        <f>K7+M7+S7+T7</f>
        <v>0</v>
      </c>
      <c r="D7" s="91">
        <f>+I7+J7+O7+R7+V7+Z7</f>
        <v>0</v>
      </c>
      <c r="E7" s="92">
        <f>+L7+N7+P7+Q7+U7+W7+X7+Y7</f>
        <v>0</v>
      </c>
      <c r="F7" s="89">
        <f>(C7*$C$45+D7*$D$45+E7*$E$45)</f>
        <v>0</v>
      </c>
      <c r="G7" s="113">
        <f>F7/$F$44</f>
        <v>0</v>
      </c>
      <c r="H7" s="140">
        <f>G7*13.625</f>
        <v>0</v>
      </c>
      <c r="I7" s="98">
        <v>0</v>
      </c>
      <c r="J7" s="99">
        <v>0</v>
      </c>
      <c r="K7" s="100">
        <v>0</v>
      </c>
      <c r="L7" s="101">
        <v>0</v>
      </c>
      <c r="M7" s="100">
        <v>0</v>
      </c>
      <c r="N7" s="101">
        <v>0</v>
      </c>
      <c r="O7" s="99">
        <v>0</v>
      </c>
      <c r="P7" s="101">
        <v>0</v>
      </c>
      <c r="Q7" s="101">
        <v>0</v>
      </c>
      <c r="R7" s="99">
        <v>0</v>
      </c>
      <c r="S7" s="100">
        <v>0</v>
      </c>
      <c r="T7" s="100">
        <v>0</v>
      </c>
      <c r="U7" s="101">
        <v>0</v>
      </c>
      <c r="V7" s="99">
        <v>0</v>
      </c>
      <c r="W7" s="101">
        <v>0</v>
      </c>
      <c r="X7" s="101">
        <v>0</v>
      </c>
      <c r="Y7" s="101">
        <v>0</v>
      </c>
      <c r="Z7" s="102">
        <v>0</v>
      </c>
    </row>
    <row r="8" spans="1:26" ht="20.100000000000001" customHeight="1">
      <c r="A8" s="9"/>
      <c r="B8" s="112" t="s">
        <v>1</v>
      </c>
      <c r="C8" s="90">
        <f t="shared" ref="C8:C43" si="0">K8+M8+S8+T8</f>
        <v>0</v>
      </c>
      <c r="D8" s="91">
        <f t="shared" ref="D8:D43" si="1">+I8+J8+O8+R8+V8+Z8</f>
        <v>0</v>
      </c>
      <c r="E8" s="92">
        <f t="shared" ref="E8:E43" si="2">+L8+N8+P8+Q8+U8+W8+X8+Y8</f>
        <v>0</v>
      </c>
      <c r="F8" s="89">
        <f>(C8*$C$45+D8*$D$45+E8*$E$45)</f>
        <v>0</v>
      </c>
      <c r="G8" s="113">
        <f>F8/$F$44</f>
        <v>0</v>
      </c>
      <c r="H8" s="109">
        <f>G8*13.625</f>
        <v>0</v>
      </c>
      <c r="I8" s="98">
        <v>0</v>
      </c>
      <c r="J8" s="99">
        <v>0</v>
      </c>
      <c r="K8" s="100">
        <v>0</v>
      </c>
      <c r="L8" s="101">
        <v>0</v>
      </c>
      <c r="M8" s="100">
        <v>0</v>
      </c>
      <c r="N8" s="101">
        <v>0</v>
      </c>
      <c r="O8" s="99">
        <v>0</v>
      </c>
      <c r="P8" s="101">
        <v>0</v>
      </c>
      <c r="Q8" s="101">
        <v>0</v>
      </c>
      <c r="R8" s="99">
        <v>0</v>
      </c>
      <c r="S8" s="100">
        <v>0</v>
      </c>
      <c r="T8" s="100">
        <v>0</v>
      </c>
      <c r="U8" s="101">
        <v>0</v>
      </c>
      <c r="V8" s="99">
        <v>0</v>
      </c>
      <c r="W8" s="101">
        <v>0</v>
      </c>
      <c r="X8" s="101">
        <v>0</v>
      </c>
      <c r="Y8" s="101">
        <v>0</v>
      </c>
      <c r="Z8" s="102">
        <v>0</v>
      </c>
    </row>
    <row r="9" spans="1:26" ht="20.100000000000001" customHeight="1">
      <c r="A9" s="9"/>
      <c r="B9" s="112" t="s">
        <v>2</v>
      </c>
      <c r="C9" s="90">
        <f t="shared" si="0"/>
        <v>0</v>
      </c>
      <c r="D9" s="91">
        <f t="shared" si="1"/>
        <v>0</v>
      </c>
      <c r="E9" s="92">
        <f t="shared" si="2"/>
        <v>0</v>
      </c>
      <c r="F9" s="89">
        <f t="shared" ref="F9:F43" si="3">(C9*$C$45+D9*$D$45+E9*$E$45)</f>
        <v>0</v>
      </c>
      <c r="G9" s="113">
        <f t="shared" ref="G9:G43" si="4">F9/$F$44</f>
        <v>0</v>
      </c>
      <c r="H9" s="109">
        <f t="shared" ref="H9:H43" si="5">G9*13.625</f>
        <v>0</v>
      </c>
      <c r="I9" s="98">
        <v>0</v>
      </c>
      <c r="J9" s="99">
        <v>0</v>
      </c>
      <c r="K9" s="100">
        <v>0</v>
      </c>
      <c r="L9" s="101">
        <v>0</v>
      </c>
      <c r="M9" s="100">
        <v>0</v>
      </c>
      <c r="N9" s="101">
        <v>0</v>
      </c>
      <c r="O9" s="99">
        <v>0</v>
      </c>
      <c r="P9" s="101">
        <v>0</v>
      </c>
      <c r="Q9" s="101">
        <v>0</v>
      </c>
      <c r="R9" s="99">
        <v>0</v>
      </c>
      <c r="S9" s="100">
        <v>0</v>
      </c>
      <c r="T9" s="100">
        <v>0</v>
      </c>
      <c r="U9" s="101">
        <v>0</v>
      </c>
      <c r="V9" s="99">
        <v>0</v>
      </c>
      <c r="W9" s="101">
        <v>0</v>
      </c>
      <c r="X9" s="101">
        <v>0</v>
      </c>
      <c r="Y9" s="101">
        <v>0</v>
      </c>
      <c r="Z9" s="102">
        <v>0</v>
      </c>
    </row>
    <row r="10" spans="1:26" ht="20.100000000000001" customHeight="1">
      <c r="A10" s="9"/>
      <c r="B10" s="112" t="s">
        <v>3</v>
      </c>
      <c r="C10" s="90">
        <f t="shared" si="0"/>
        <v>0</v>
      </c>
      <c r="D10" s="91">
        <f t="shared" si="1"/>
        <v>0</v>
      </c>
      <c r="E10" s="92">
        <f t="shared" si="2"/>
        <v>0</v>
      </c>
      <c r="F10" s="89">
        <f t="shared" si="3"/>
        <v>0</v>
      </c>
      <c r="G10" s="113">
        <f t="shared" si="4"/>
        <v>0</v>
      </c>
      <c r="H10" s="109">
        <f t="shared" si="5"/>
        <v>0</v>
      </c>
      <c r="I10" s="98">
        <v>0</v>
      </c>
      <c r="J10" s="99">
        <v>0</v>
      </c>
      <c r="K10" s="100">
        <v>0</v>
      </c>
      <c r="L10" s="101">
        <v>0</v>
      </c>
      <c r="M10" s="100">
        <v>0</v>
      </c>
      <c r="N10" s="101">
        <v>0</v>
      </c>
      <c r="O10" s="99">
        <v>0</v>
      </c>
      <c r="P10" s="101">
        <v>0</v>
      </c>
      <c r="Q10" s="101">
        <v>0</v>
      </c>
      <c r="R10" s="99">
        <v>0</v>
      </c>
      <c r="S10" s="100">
        <v>0</v>
      </c>
      <c r="T10" s="100">
        <v>0</v>
      </c>
      <c r="U10" s="101">
        <v>0</v>
      </c>
      <c r="V10" s="99">
        <v>0</v>
      </c>
      <c r="W10" s="101">
        <v>0</v>
      </c>
      <c r="X10" s="101">
        <v>0</v>
      </c>
      <c r="Y10" s="101">
        <v>0</v>
      </c>
      <c r="Z10" s="102">
        <v>0</v>
      </c>
    </row>
    <row r="11" spans="1:26" ht="20.100000000000001" customHeight="1">
      <c r="A11" s="9"/>
      <c r="B11" s="112" t="s">
        <v>4</v>
      </c>
      <c r="C11" s="90">
        <f t="shared" si="0"/>
        <v>0</v>
      </c>
      <c r="D11" s="91">
        <f t="shared" si="1"/>
        <v>0</v>
      </c>
      <c r="E11" s="92">
        <f t="shared" si="2"/>
        <v>0</v>
      </c>
      <c r="F11" s="89">
        <f t="shared" si="3"/>
        <v>0</v>
      </c>
      <c r="G11" s="113">
        <f t="shared" si="4"/>
        <v>0</v>
      </c>
      <c r="H11" s="109">
        <f t="shared" si="5"/>
        <v>0</v>
      </c>
      <c r="I11" s="98">
        <v>0</v>
      </c>
      <c r="J11" s="99">
        <v>0</v>
      </c>
      <c r="K11" s="100">
        <v>0</v>
      </c>
      <c r="L11" s="101">
        <v>0</v>
      </c>
      <c r="M11" s="100">
        <v>0</v>
      </c>
      <c r="N11" s="101">
        <v>0</v>
      </c>
      <c r="O11" s="99">
        <v>0</v>
      </c>
      <c r="P11" s="101">
        <v>0</v>
      </c>
      <c r="Q11" s="101">
        <v>0</v>
      </c>
      <c r="R11" s="99">
        <v>0</v>
      </c>
      <c r="S11" s="100">
        <v>0</v>
      </c>
      <c r="T11" s="100">
        <v>0</v>
      </c>
      <c r="U11" s="101">
        <v>0</v>
      </c>
      <c r="V11" s="99">
        <v>0</v>
      </c>
      <c r="W11" s="101">
        <v>0</v>
      </c>
      <c r="X11" s="101">
        <v>0</v>
      </c>
      <c r="Y11" s="101">
        <v>0</v>
      </c>
      <c r="Z11" s="102">
        <v>0</v>
      </c>
    </row>
    <row r="12" spans="1:26" ht="20.100000000000001" customHeight="1">
      <c r="A12" s="9"/>
      <c r="B12" s="112" t="s">
        <v>22</v>
      </c>
      <c r="C12" s="90">
        <f t="shared" si="0"/>
        <v>0</v>
      </c>
      <c r="D12" s="91">
        <f t="shared" si="1"/>
        <v>0</v>
      </c>
      <c r="E12" s="92">
        <f t="shared" si="2"/>
        <v>0</v>
      </c>
      <c r="F12" s="89">
        <f t="shared" si="3"/>
        <v>0</v>
      </c>
      <c r="G12" s="113">
        <f t="shared" si="4"/>
        <v>0</v>
      </c>
      <c r="H12" s="109">
        <f t="shared" si="5"/>
        <v>0</v>
      </c>
      <c r="I12" s="98">
        <v>0</v>
      </c>
      <c r="J12" s="99">
        <v>0</v>
      </c>
      <c r="K12" s="100">
        <v>0</v>
      </c>
      <c r="L12" s="101">
        <v>0</v>
      </c>
      <c r="M12" s="100">
        <v>0</v>
      </c>
      <c r="N12" s="101">
        <v>0</v>
      </c>
      <c r="O12" s="99">
        <v>0</v>
      </c>
      <c r="P12" s="101">
        <v>0</v>
      </c>
      <c r="Q12" s="101">
        <v>0</v>
      </c>
      <c r="R12" s="99">
        <v>0</v>
      </c>
      <c r="S12" s="100">
        <v>0</v>
      </c>
      <c r="T12" s="100">
        <v>0</v>
      </c>
      <c r="U12" s="101">
        <v>0</v>
      </c>
      <c r="V12" s="99">
        <v>0</v>
      </c>
      <c r="W12" s="101">
        <v>0</v>
      </c>
      <c r="X12" s="101">
        <v>0</v>
      </c>
      <c r="Y12" s="101">
        <v>0</v>
      </c>
      <c r="Z12" s="102">
        <v>0</v>
      </c>
    </row>
    <row r="13" spans="1:26" ht="20.100000000000001" customHeight="1">
      <c r="A13" s="9"/>
      <c r="B13" s="112" t="s">
        <v>23</v>
      </c>
      <c r="C13" s="90">
        <f t="shared" si="0"/>
        <v>0</v>
      </c>
      <c r="D13" s="91">
        <f t="shared" si="1"/>
        <v>0</v>
      </c>
      <c r="E13" s="92">
        <f t="shared" si="2"/>
        <v>0</v>
      </c>
      <c r="F13" s="89">
        <f t="shared" si="3"/>
        <v>0</v>
      </c>
      <c r="G13" s="113">
        <f t="shared" si="4"/>
        <v>0</v>
      </c>
      <c r="H13" s="109">
        <f t="shared" si="5"/>
        <v>0</v>
      </c>
      <c r="I13" s="98">
        <v>0</v>
      </c>
      <c r="J13" s="99">
        <v>0</v>
      </c>
      <c r="K13" s="100">
        <v>0</v>
      </c>
      <c r="L13" s="101">
        <v>0</v>
      </c>
      <c r="M13" s="100">
        <v>0</v>
      </c>
      <c r="N13" s="101">
        <v>0</v>
      </c>
      <c r="O13" s="99">
        <v>0</v>
      </c>
      <c r="P13" s="101">
        <v>0</v>
      </c>
      <c r="Q13" s="101">
        <v>0</v>
      </c>
      <c r="R13" s="99">
        <v>0</v>
      </c>
      <c r="S13" s="100">
        <v>0</v>
      </c>
      <c r="T13" s="100">
        <v>0</v>
      </c>
      <c r="U13" s="101">
        <v>0</v>
      </c>
      <c r="V13" s="99">
        <v>0</v>
      </c>
      <c r="W13" s="101">
        <v>0</v>
      </c>
      <c r="X13" s="101">
        <v>0</v>
      </c>
      <c r="Y13" s="101">
        <v>0</v>
      </c>
      <c r="Z13" s="102">
        <v>0</v>
      </c>
    </row>
    <row r="14" spans="1:26" ht="20.100000000000001" customHeight="1">
      <c r="A14" s="9"/>
      <c r="B14" s="112" t="s">
        <v>5</v>
      </c>
      <c r="C14" s="90">
        <f t="shared" si="0"/>
        <v>0</v>
      </c>
      <c r="D14" s="91">
        <f t="shared" si="1"/>
        <v>0</v>
      </c>
      <c r="E14" s="92">
        <f t="shared" si="2"/>
        <v>0</v>
      </c>
      <c r="F14" s="89">
        <f t="shared" si="3"/>
        <v>0</v>
      </c>
      <c r="G14" s="113">
        <f t="shared" si="4"/>
        <v>0</v>
      </c>
      <c r="H14" s="109">
        <f t="shared" si="5"/>
        <v>0</v>
      </c>
      <c r="I14" s="98">
        <v>0</v>
      </c>
      <c r="J14" s="99">
        <v>0</v>
      </c>
      <c r="K14" s="100">
        <v>0</v>
      </c>
      <c r="L14" s="101">
        <v>0</v>
      </c>
      <c r="M14" s="100">
        <v>0</v>
      </c>
      <c r="N14" s="101">
        <v>0</v>
      </c>
      <c r="O14" s="99">
        <v>0</v>
      </c>
      <c r="P14" s="101">
        <v>0</v>
      </c>
      <c r="Q14" s="101">
        <v>0</v>
      </c>
      <c r="R14" s="99">
        <v>0</v>
      </c>
      <c r="S14" s="100">
        <v>0</v>
      </c>
      <c r="T14" s="100">
        <v>0</v>
      </c>
      <c r="U14" s="101">
        <v>0</v>
      </c>
      <c r="V14" s="99">
        <v>0</v>
      </c>
      <c r="W14" s="101">
        <v>0</v>
      </c>
      <c r="X14" s="101">
        <v>0</v>
      </c>
      <c r="Y14" s="101">
        <v>0</v>
      </c>
      <c r="Z14" s="102">
        <v>0</v>
      </c>
    </row>
    <row r="15" spans="1:26" ht="20.100000000000001" customHeight="1">
      <c r="A15" s="9"/>
      <c r="B15" s="112" t="s">
        <v>6</v>
      </c>
      <c r="C15" s="90">
        <f t="shared" si="0"/>
        <v>0</v>
      </c>
      <c r="D15" s="91">
        <f t="shared" si="1"/>
        <v>0</v>
      </c>
      <c r="E15" s="92">
        <f t="shared" si="2"/>
        <v>0</v>
      </c>
      <c r="F15" s="89">
        <f t="shared" si="3"/>
        <v>0</v>
      </c>
      <c r="G15" s="113">
        <f t="shared" si="4"/>
        <v>0</v>
      </c>
      <c r="H15" s="109">
        <f t="shared" si="5"/>
        <v>0</v>
      </c>
      <c r="I15" s="98">
        <v>0</v>
      </c>
      <c r="J15" s="99">
        <v>0</v>
      </c>
      <c r="K15" s="100">
        <v>0</v>
      </c>
      <c r="L15" s="101">
        <v>0</v>
      </c>
      <c r="M15" s="100">
        <v>0</v>
      </c>
      <c r="N15" s="101">
        <v>0</v>
      </c>
      <c r="O15" s="99">
        <v>0</v>
      </c>
      <c r="P15" s="101">
        <v>0</v>
      </c>
      <c r="Q15" s="101">
        <v>0</v>
      </c>
      <c r="R15" s="99">
        <v>0</v>
      </c>
      <c r="S15" s="100">
        <v>0</v>
      </c>
      <c r="T15" s="100">
        <v>0</v>
      </c>
      <c r="U15" s="101">
        <v>0</v>
      </c>
      <c r="V15" s="99">
        <v>0</v>
      </c>
      <c r="W15" s="101">
        <v>0</v>
      </c>
      <c r="X15" s="101">
        <v>0</v>
      </c>
      <c r="Y15" s="101">
        <v>0</v>
      </c>
      <c r="Z15" s="102">
        <v>0</v>
      </c>
    </row>
    <row r="16" spans="1:26" ht="20.100000000000001" customHeight="1">
      <c r="A16" s="9"/>
      <c r="B16" s="112" t="s">
        <v>7</v>
      </c>
      <c r="C16" s="90">
        <f t="shared" si="0"/>
        <v>0</v>
      </c>
      <c r="D16" s="91">
        <f t="shared" si="1"/>
        <v>0</v>
      </c>
      <c r="E16" s="92">
        <f t="shared" si="2"/>
        <v>0</v>
      </c>
      <c r="F16" s="89">
        <f t="shared" si="3"/>
        <v>0</v>
      </c>
      <c r="G16" s="113">
        <f t="shared" si="4"/>
        <v>0</v>
      </c>
      <c r="H16" s="109">
        <f t="shared" si="5"/>
        <v>0</v>
      </c>
      <c r="I16" s="98">
        <v>0</v>
      </c>
      <c r="J16" s="99">
        <v>0</v>
      </c>
      <c r="K16" s="100">
        <v>0</v>
      </c>
      <c r="L16" s="101">
        <v>0</v>
      </c>
      <c r="M16" s="100">
        <v>0</v>
      </c>
      <c r="N16" s="101">
        <v>0</v>
      </c>
      <c r="O16" s="99">
        <v>0</v>
      </c>
      <c r="P16" s="101">
        <v>0</v>
      </c>
      <c r="Q16" s="101">
        <v>0</v>
      </c>
      <c r="R16" s="99">
        <v>0</v>
      </c>
      <c r="S16" s="100">
        <v>0</v>
      </c>
      <c r="T16" s="100">
        <v>0</v>
      </c>
      <c r="U16" s="101">
        <v>0</v>
      </c>
      <c r="V16" s="99">
        <v>0</v>
      </c>
      <c r="W16" s="101">
        <v>0</v>
      </c>
      <c r="X16" s="101">
        <v>0</v>
      </c>
      <c r="Y16" s="101">
        <v>0</v>
      </c>
      <c r="Z16" s="102">
        <v>0</v>
      </c>
    </row>
    <row r="17" spans="1:26" ht="20.100000000000001" customHeight="1">
      <c r="A17" s="9"/>
      <c r="B17" s="112" t="s">
        <v>18</v>
      </c>
      <c r="C17" s="90">
        <f t="shared" si="0"/>
        <v>0</v>
      </c>
      <c r="D17" s="91">
        <f t="shared" si="1"/>
        <v>0</v>
      </c>
      <c r="E17" s="92">
        <f t="shared" si="2"/>
        <v>0</v>
      </c>
      <c r="F17" s="89">
        <f t="shared" si="3"/>
        <v>0</v>
      </c>
      <c r="G17" s="113">
        <f t="shared" si="4"/>
        <v>0</v>
      </c>
      <c r="H17" s="109">
        <f t="shared" si="5"/>
        <v>0</v>
      </c>
      <c r="I17" s="98">
        <v>0</v>
      </c>
      <c r="J17" s="99">
        <v>0</v>
      </c>
      <c r="K17" s="100">
        <v>0</v>
      </c>
      <c r="L17" s="101">
        <v>0</v>
      </c>
      <c r="M17" s="100">
        <v>0</v>
      </c>
      <c r="N17" s="101">
        <v>0</v>
      </c>
      <c r="O17" s="99">
        <v>0</v>
      </c>
      <c r="P17" s="101">
        <v>0</v>
      </c>
      <c r="Q17" s="101">
        <v>0</v>
      </c>
      <c r="R17" s="99">
        <v>0</v>
      </c>
      <c r="S17" s="100">
        <v>0</v>
      </c>
      <c r="T17" s="100">
        <v>0</v>
      </c>
      <c r="U17" s="101">
        <v>0</v>
      </c>
      <c r="V17" s="99">
        <v>0</v>
      </c>
      <c r="W17" s="101">
        <v>0</v>
      </c>
      <c r="X17" s="101">
        <v>0</v>
      </c>
      <c r="Y17" s="101">
        <v>0</v>
      </c>
      <c r="Z17" s="102">
        <v>0</v>
      </c>
    </row>
    <row r="18" spans="1:26" ht="20.100000000000001" customHeight="1">
      <c r="A18" s="9"/>
      <c r="B18" s="112" t="s">
        <v>8</v>
      </c>
      <c r="C18" s="90">
        <f t="shared" si="0"/>
        <v>0</v>
      </c>
      <c r="D18" s="91">
        <f t="shared" si="1"/>
        <v>0</v>
      </c>
      <c r="E18" s="92">
        <f t="shared" si="2"/>
        <v>1</v>
      </c>
      <c r="F18" s="89">
        <f t="shared" si="3"/>
        <v>2</v>
      </c>
      <c r="G18" s="113">
        <f t="shared" si="4"/>
        <v>6.0642813826561554E-4</v>
      </c>
      <c r="H18" s="165">
        <f t="shared" si="5"/>
        <v>8.2625833838690117E-3</v>
      </c>
      <c r="I18" s="98"/>
      <c r="J18" s="99"/>
      <c r="K18" s="100"/>
      <c r="L18" s="101">
        <v>1</v>
      </c>
      <c r="M18" s="100">
        <v>0</v>
      </c>
      <c r="N18" s="101">
        <v>0</v>
      </c>
      <c r="O18" s="99"/>
      <c r="P18" s="101">
        <v>0</v>
      </c>
      <c r="Q18" s="101">
        <v>0</v>
      </c>
      <c r="R18" s="99">
        <v>0</v>
      </c>
      <c r="S18" s="100">
        <v>0</v>
      </c>
      <c r="T18" s="100">
        <v>0</v>
      </c>
      <c r="U18" s="101">
        <v>0</v>
      </c>
      <c r="V18" s="99">
        <v>0</v>
      </c>
      <c r="W18" s="101">
        <v>0</v>
      </c>
      <c r="X18" s="101">
        <v>0</v>
      </c>
      <c r="Y18" s="101">
        <v>0</v>
      </c>
      <c r="Z18" s="102">
        <v>0</v>
      </c>
    </row>
    <row r="19" spans="1:26" ht="20.100000000000001" customHeight="1">
      <c r="A19" s="9"/>
      <c r="B19" s="112" t="s">
        <v>15</v>
      </c>
      <c r="C19" s="90">
        <f t="shared" si="0"/>
        <v>1</v>
      </c>
      <c r="D19" s="91">
        <f t="shared" si="1"/>
        <v>0</v>
      </c>
      <c r="E19" s="92">
        <f t="shared" si="2"/>
        <v>0</v>
      </c>
      <c r="F19" s="89">
        <f t="shared" si="3"/>
        <v>5</v>
      </c>
      <c r="G19" s="113">
        <f t="shared" si="4"/>
        <v>1.5160703456640388E-3</v>
      </c>
      <c r="H19" s="109">
        <f t="shared" si="5"/>
        <v>2.0656458459672528E-2</v>
      </c>
      <c r="I19" s="98">
        <v>0</v>
      </c>
      <c r="J19" s="99">
        <v>0</v>
      </c>
      <c r="K19" s="100">
        <v>1</v>
      </c>
      <c r="L19" s="101">
        <v>0</v>
      </c>
      <c r="M19" s="100">
        <v>0</v>
      </c>
      <c r="N19" s="101">
        <v>0</v>
      </c>
      <c r="O19" s="99">
        <v>0</v>
      </c>
      <c r="P19" s="101">
        <v>0</v>
      </c>
      <c r="Q19" s="101">
        <v>0</v>
      </c>
      <c r="R19" s="99">
        <v>0</v>
      </c>
      <c r="S19" s="100">
        <v>0</v>
      </c>
      <c r="T19" s="100">
        <v>0</v>
      </c>
      <c r="U19" s="101">
        <v>0</v>
      </c>
      <c r="V19" s="99">
        <v>0</v>
      </c>
      <c r="W19" s="101">
        <v>0</v>
      </c>
      <c r="X19" s="101">
        <v>0</v>
      </c>
      <c r="Y19" s="101">
        <v>0</v>
      </c>
      <c r="Z19" s="102">
        <v>0</v>
      </c>
    </row>
    <row r="20" spans="1:26" ht="20.100000000000001" customHeight="1">
      <c r="A20" s="9"/>
      <c r="B20" s="112" t="s">
        <v>16</v>
      </c>
      <c r="C20" s="90">
        <f t="shared" si="0"/>
        <v>2</v>
      </c>
      <c r="D20" s="91">
        <f t="shared" si="1"/>
        <v>18</v>
      </c>
      <c r="E20" s="92">
        <f t="shared" si="2"/>
        <v>6</v>
      </c>
      <c r="F20" s="89">
        <f t="shared" si="3"/>
        <v>76</v>
      </c>
      <c r="G20" s="113">
        <f t="shared" si="4"/>
        <v>2.3044269254093391E-2</v>
      </c>
      <c r="H20" s="109">
        <f t="shared" si="5"/>
        <v>0.31397816858702243</v>
      </c>
      <c r="I20" s="98">
        <v>0</v>
      </c>
      <c r="J20" s="99">
        <v>0</v>
      </c>
      <c r="K20" s="100">
        <v>2</v>
      </c>
      <c r="L20" s="101">
        <v>0</v>
      </c>
      <c r="M20" s="100">
        <v>0</v>
      </c>
      <c r="N20" s="101">
        <v>1</v>
      </c>
      <c r="O20" s="99">
        <v>16</v>
      </c>
      <c r="P20" s="101">
        <v>0</v>
      </c>
      <c r="Q20" s="101">
        <v>3</v>
      </c>
      <c r="R20" s="99">
        <v>2</v>
      </c>
      <c r="S20" s="100">
        <v>0</v>
      </c>
      <c r="T20" s="100">
        <v>0</v>
      </c>
      <c r="U20" s="101">
        <v>2</v>
      </c>
      <c r="V20" s="99">
        <v>0</v>
      </c>
      <c r="W20" s="101">
        <v>0</v>
      </c>
      <c r="X20" s="101">
        <v>0</v>
      </c>
      <c r="Y20" s="101">
        <v>0</v>
      </c>
      <c r="Z20" s="102">
        <v>0</v>
      </c>
    </row>
    <row r="21" spans="1:26" ht="20.100000000000001" customHeight="1">
      <c r="A21" s="9"/>
      <c r="B21" s="112" t="s">
        <v>50</v>
      </c>
      <c r="C21" s="90">
        <f t="shared" si="0"/>
        <v>8</v>
      </c>
      <c r="D21" s="91">
        <f t="shared" si="1"/>
        <v>30</v>
      </c>
      <c r="E21" s="92">
        <f t="shared" si="2"/>
        <v>37</v>
      </c>
      <c r="F21" s="89">
        <f t="shared" si="3"/>
        <v>204</v>
      </c>
      <c r="G21" s="113">
        <f t="shared" si="4"/>
        <v>6.1855670103092786E-2</v>
      </c>
      <c r="H21" s="109">
        <f t="shared" si="5"/>
        <v>0.84278350515463918</v>
      </c>
      <c r="I21" s="98">
        <v>1</v>
      </c>
      <c r="J21" s="99">
        <v>0</v>
      </c>
      <c r="K21" s="100">
        <v>8</v>
      </c>
      <c r="L21" s="101">
        <v>4</v>
      </c>
      <c r="M21" s="100">
        <v>0</v>
      </c>
      <c r="N21" s="101">
        <v>2</v>
      </c>
      <c r="O21" s="99">
        <v>26</v>
      </c>
      <c r="P21" s="101">
        <v>8</v>
      </c>
      <c r="Q21" s="101">
        <v>7</v>
      </c>
      <c r="R21" s="99">
        <v>0</v>
      </c>
      <c r="S21" s="100">
        <v>0</v>
      </c>
      <c r="T21" s="100">
        <v>0</v>
      </c>
      <c r="U21" s="101">
        <v>4</v>
      </c>
      <c r="V21" s="99">
        <v>2</v>
      </c>
      <c r="W21" s="101">
        <v>6</v>
      </c>
      <c r="X21" s="101">
        <v>0</v>
      </c>
      <c r="Y21" s="101">
        <v>6</v>
      </c>
      <c r="Z21" s="102">
        <v>1</v>
      </c>
    </row>
    <row r="22" spans="1:26" ht="20.100000000000001" customHeight="1">
      <c r="A22" s="9"/>
      <c r="B22" s="112" t="s">
        <v>17</v>
      </c>
      <c r="C22" s="90">
        <f t="shared" si="0"/>
        <v>1</v>
      </c>
      <c r="D22" s="91">
        <f t="shared" si="1"/>
        <v>18</v>
      </c>
      <c r="E22" s="92">
        <f t="shared" si="2"/>
        <v>36</v>
      </c>
      <c r="F22" s="89">
        <f t="shared" si="3"/>
        <v>131</v>
      </c>
      <c r="G22" s="113">
        <f t="shared" si="4"/>
        <v>3.9721043056397815E-2</v>
      </c>
      <c r="H22" s="109">
        <f t="shared" si="5"/>
        <v>0.54119921164342022</v>
      </c>
      <c r="I22" s="98">
        <v>0</v>
      </c>
      <c r="J22" s="99">
        <v>0</v>
      </c>
      <c r="K22" s="100">
        <v>1</v>
      </c>
      <c r="L22" s="101">
        <v>1</v>
      </c>
      <c r="M22" s="100">
        <v>0</v>
      </c>
      <c r="N22" s="101">
        <v>0</v>
      </c>
      <c r="O22" s="99">
        <v>17</v>
      </c>
      <c r="P22" s="101">
        <v>9</v>
      </c>
      <c r="Q22" s="101">
        <v>22</v>
      </c>
      <c r="R22" s="99">
        <v>0</v>
      </c>
      <c r="S22" s="100">
        <v>0</v>
      </c>
      <c r="T22" s="100">
        <v>0</v>
      </c>
      <c r="U22" s="101">
        <v>1</v>
      </c>
      <c r="V22" s="99">
        <v>0</v>
      </c>
      <c r="W22" s="101">
        <v>0</v>
      </c>
      <c r="X22" s="101">
        <v>0</v>
      </c>
      <c r="Y22" s="101">
        <v>3</v>
      </c>
      <c r="Z22" s="102">
        <v>1</v>
      </c>
    </row>
    <row r="23" spans="1:26" ht="20.100000000000001" customHeight="1">
      <c r="A23" s="9"/>
      <c r="B23" s="112" t="s">
        <v>19</v>
      </c>
      <c r="C23" s="90">
        <f t="shared" si="0"/>
        <v>75</v>
      </c>
      <c r="D23" s="91">
        <f t="shared" si="1"/>
        <v>84</v>
      </c>
      <c r="E23" s="92">
        <f t="shared" si="2"/>
        <v>186</v>
      </c>
      <c r="F23" s="89">
        <f t="shared" si="3"/>
        <v>999</v>
      </c>
      <c r="G23" s="113">
        <f t="shared" si="4"/>
        <v>0.30291085506367493</v>
      </c>
      <c r="H23" s="109">
        <f t="shared" si="5"/>
        <v>4.1271604002425706</v>
      </c>
      <c r="I23" s="98">
        <v>0</v>
      </c>
      <c r="J23" s="99">
        <v>0</v>
      </c>
      <c r="K23" s="100">
        <v>74</v>
      </c>
      <c r="L23" s="101">
        <v>27</v>
      </c>
      <c r="M23" s="100">
        <v>0</v>
      </c>
      <c r="N23" s="101">
        <v>0</v>
      </c>
      <c r="O23" s="99">
        <v>81</v>
      </c>
      <c r="P23" s="101">
        <v>17</v>
      </c>
      <c r="Q23" s="101">
        <v>7</v>
      </c>
      <c r="R23" s="99">
        <v>0</v>
      </c>
      <c r="S23" s="100">
        <v>1</v>
      </c>
      <c r="T23" s="100">
        <v>0</v>
      </c>
      <c r="U23" s="101">
        <v>2</v>
      </c>
      <c r="V23" s="99">
        <v>3</v>
      </c>
      <c r="W23" s="101">
        <v>128</v>
      </c>
      <c r="X23" s="101">
        <v>0</v>
      </c>
      <c r="Y23" s="101">
        <v>5</v>
      </c>
      <c r="Z23" s="102">
        <v>0</v>
      </c>
    </row>
    <row r="24" spans="1:26" ht="20.100000000000001" customHeight="1">
      <c r="A24" s="9"/>
      <c r="B24" s="112" t="s">
        <v>20</v>
      </c>
      <c r="C24" s="90">
        <f t="shared" si="0"/>
        <v>3</v>
      </c>
      <c r="D24" s="91">
        <f t="shared" si="1"/>
        <v>6</v>
      </c>
      <c r="E24" s="92">
        <f t="shared" si="2"/>
        <v>1</v>
      </c>
      <c r="F24" s="89">
        <f t="shared" si="3"/>
        <v>35</v>
      </c>
      <c r="G24" s="113">
        <f t="shared" si="4"/>
        <v>1.0612492419648272E-2</v>
      </c>
      <c r="H24" s="109">
        <f t="shared" si="5"/>
        <v>0.14459520921770772</v>
      </c>
      <c r="I24" s="98">
        <v>0</v>
      </c>
      <c r="J24" s="99">
        <v>0</v>
      </c>
      <c r="K24" s="100">
        <v>3</v>
      </c>
      <c r="L24" s="101">
        <v>1</v>
      </c>
      <c r="M24" s="100">
        <v>0</v>
      </c>
      <c r="N24" s="101">
        <v>0</v>
      </c>
      <c r="O24" s="99">
        <v>5</v>
      </c>
      <c r="P24" s="101">
        <v>0</v>
      </c>
      <c r="Q24" s="101">
        <v>0</v>
      </c>
      <c r="R24" s="99">
        <v>0</v>
      </c>
      <c r="S24" s="100">
        <v>0</v>
      </c>
      <c r="T24" s="100">
        <v>0</v>
      </c>
      <c r="U24" s="101">
        <v>0</v>
      </c>
      <c r="V24" s="99">
        <v>1</v>
      </c>
      <c r="W24" s="101">
        <v>0</v>
      </c>
      <c r="X24" s="101">
        <v>0</v>
      </c>
      <c r="Y24" s="101">
        <v>0</v>
      </c>
      <c r="Z24" s="102">
        <v>0</v>
      </c>
    </row>
    <row r="25" spans="1:26" ht="20.100000000000001" customHeight="1">
      <c r="A25" s="9"/>
      <c r="B25" s="112" t="s">
        <v>25</v>
      </c>
      <c r="C25" s="90">
        <f t="shared" si="0"/>
        <v>31</v>
      </c>
      <c r="D25" s="91">
        <f t="shared" si="1"/>
        <v>45</v>
      </c>
      <c r="E25" s="92">
        <f t="shared" si="2"/>
        <v>34</v>
      </c>
      <c r="F25" s="89">
        <f t="shared" si="3"/>
        <v>358</v>
      </c>
      <c r="G25" s="113">
        <f t="shared" si="4"/>
        <v>0.10855063674954518</v>
      </c>
      <c r="H25" s="109">
        <f t="shared" si="5"/>
        <v>1.4790024257125531</v>
      </c>
      <c r="I25" s="98">
        <v>0</v>
      </c>
      <c r="J25" s="99">
        <v>0</v>
      </c>
      <c r="K25" s="100">
        <v>31</v>
      </c>
      <c r="L25" s="101">
        <v>13</v>
      </c>
      <c r="M25" s="100">
        <v>0</v>
      </c>
      <c r="N25" s="101">
        <v>0</v>
      </c>
      <c r="O25" s="99">
        <v>44</v>
      </c>
      <c r="P25" s="101">
        <v>2</v>
      </c>
      <c r="Q25" s="101">
        <v>0</v>
      </c>
      <c r="R25" s="99">
        <v>0</v>
      </c>
      <c r="S25" s="100">
        <v>0</v>
      </c>
      <c r="T25" s="100">
        <v>0</v>
      </c>
      <c r="U25" s="101">
        <v>1</v>
      </c>
      <c r="V25" s="99">
        <v>1</v>
      </c>
      <c r="W25" s="101">
        <v>14</v>
      </c>
      <c r="X25" s="101">
        <v>0</v>
      </c>
      <c r="Y25" s="101">
        <v>4</v>
      </c>
      <c r="Z25" s="102">
        <v>0</v>
      </c>
    </row>
    <row r="26" spans="1:26" ht="20.100000000000001" customHeight="1">
      <c r="A26" s="9"/>
      <c r="B26" s="112" t="s">
        <v>9</v>
      </c>
      <c r="C26" s="90">
        <f t="shared" si="0"/>
        <v>10</v>
      </c>
      <c r="D26" s="91">
        <f t="shared" si="1"/>
        <v>117</v>
      </c>
      <c r="E26" s="92">
        <f t="shared" si="2"/>
        <v>7</v>
      </c>
      <c r="F26" s="89">
        <f t="shared" si="3"/>
        <v>415</v>
      </c>
      <c r="G26" s="113">
        <f t="shared" si="4"/>
        <v>0.12583383869011522</v>
      </c>
      <c r="H26" s="109">
        <f t="shared" si="5"/>
        <v>1.7144860521528198</v>
      </c>
      <c r="I26" s="98">
        <v>0</v>
      </c>
      <c r="J26" s="99">
        <v>0</v>
      </c>
      <c r="K26" s="100">
        <v>10</v>
      </c>
      <c r="L26" s="101">
        <v>0</v>
      </c>
      <c r="M26" s="100">
        <v>0</v>
      </c>
      <c r="N26" s="101">
        <v>0</v>
      </c>
      <c r="O26" s="99">
        <v>108</v>
      </c>
      <c r="P26" s="101">
        <v>1</v>
      </c>
      <c r="Q26" s="101">
        <v>4</v>
      </c>
      <c r="R26" s="99">
        <v>3</v>
      </c>
      <c r="S26" s="100">
        <v>0</v>
      </c>
      <c r="T26" s="100">
        <v>0</v>
      </c>
      <c r="U26" s="101">
        <v>2</v>
      </c>
      <c r="V26" s="99">
        <v>6</v>
      </c>
      <c r="W26" s="101">
        <v>0</v>
      </c>
      <c r="X26" s="101">
        <v>0</v>
      </c>
      <c r="Y26" s="101">
        <v>0</v>
      </c>
      <c r="Z26" s="102">
        <v>0</v>
      </c>
    </row>
    <row r="27" spans="1:26" ht="20.100000000000001" customHeight="1">
      <c r="A27" s="9"/>
      <c r="B27" s="112" t="s">
        <v>10</v>
      </c>
      <c r="C27" s="90">
        <f t="shared" si="0"/>
        <v>4</v>
      </c>
      <c r="D27" s="91">
        <f t="shared" si="1"/>
        <v>4</v>
      </c>
      <c r="E27" s="92">
        <f t="shared" si="2"/>
        <v>4</v>
      </c>
      <c r="F27" s="89">
        <f t="shared" si="3"/>
        <v>40</v>
      </c>
      <c r="G27" s="113">
        <f t="shared" si="4"/>
        <v>1.2128562765312311E-2</v>
      </c>
      <c r="H27" s="109">
        <f t="shared" si="5"/>
        <v>0.16525166767738023</v>
      </c>
      <c r="I27" s="98">
        <v>0</v>
      </c>
      <c r="J27" s="99">
        <v>0</v>
      </c>
      <c r="K27" s="100">
        <v>3</v>
      </c>
      <c r="L27" s="101">
        <v>0</v>
      </c>
      <c r="M27" s="100">
        <v>0</v>
      </c>
      <c r="N27" s="101">
        <v>0</v>
      </c>
      <c r="O27" s="99">
        <v>4</v>
      </c>
      <c r="P27" s="101">
        <v>0</v>
      </c>
      <c r="Q27" s="101">
        <v>0</v>
      </c>
      <c r="R27" s="99">
        <v>0</v>
      </c>
      <c r="S27" s="100">
        <v>1</v>
      </c>
      <c r="T27" s="100">
        <v>0</v>
      </c>
      <c r="U27" s="101">
        <v>0</v>
      </c>
      <c r="V27" s="99">
        <v>0</v>
      </c>
      <c r="W27" s="101">
        <v>4</v>
      </c>
      <c r="X27" s="101">
        <v>0</v>
      </c>
      <c r="Y27" s="101">
        <v>0</v>
      </c>
      <c r="Z27" s="102">
        <v>0</v>
      </c>
    </row>
    <row r="28" spans="1:26" ht="20.100000000000001" customHeight="1">
      <c r="A28" s="9"/>
      <c r="B28" s="112" t="s">
        <v>21</v>
      </c>
      <c r="C28" s="90">
        <f t="shared" si="0"/>
        <v>0</v>
      </c>
      <c r="D28" s="91">
        <f t="shared" si="1"/>
        <v>0</v>
      </c>
      <c r="E28" s="92">
        <f t="shared" si="2"/>
        <v>0</v>
      </c>
      <c r="F28" s="89">
        <f t="shared" si="3"/>
        <v>0</v>
      </c>
      <c r="G28" s="113">
        <f t="shared" si="4"/>
        <v>0</v>
      </c>
      <c r="H28" s="109">
        <f t="shared" si="5"/>
        <v>0</v>
      </c>
      <c r="I28" s="98">
        <v>0</v>
      </c>
      <c r="J28" s="99">
        <v>0</v>
      </c>
      <c r="K28" s="100">
        <v>0</v>
      </c>
      <c r="L28" s="101">
        <v>0</v>
      </c>
      <c r="M28" s="100">
        <v>0</v>
      </c>
      <c r="N28" s="101">
        <v>0</v>
      </c>
      <c r="O28" s="99">
        <v>0</v>
      </c>
      <c r="P28" s="101">
        <v>0</v>
      </c>
      <c r="Q28" s="101">
        <v>0</v>
      </c>
      <c r="R28" s="99">
        <v>0</v>
      </c>
      <c r="S28" s="100">
        <v>0</v>
      </c>
      <c r="T28" s="100">
        <v>0</v>
      </c>
      <c r="U28" s="101">
        <v>0</v>
      </c>
      <c r="V28" s="99">
        <v>0</v>
      </c>
      <c r="W28" s="101">
        <v>0</v>
      </c>
      <c r="X28" s="101">
        <v>0</v>
      </c>
      <c r="Y28" s="101">
        <v>0</v>
      </c>
      <c r="Z28" s="102">
        <v>0</v>
      </c>
    </row>
    <row r="29" spans="1:26" ht="20.100000000000001" customHeight="1">
      <c r="A29" s="9"/>
      <c r="B29" s="112" t="s">
        <v>11</v>
      </c>
      <c r="C29" s="90">
        <f t="shared" si="0"/>
        <v>0</v>
      </c>
      <c r="D29" s="91">
        <f t="shared" si="1"/>
        <v>0</v>
      </c>
      <c r="E29" s="92">
        <f t="shared" si="2"/>
        <v>0</v>
      </c>
      <c r="F29" s="89">
        <f t="shared" si="3"/>
        <v>0</v>
      </c>
      <c r="G29" s="113">
        <f t="shared" si="4"/>
        <v>0</v>
      </c>
      <c r="H29" s="109">
        <f t="shared" si="5"/>
        <v>0</v>
      </c>
      <c r="I29" s="98">
        <v>0</v>
      </c>
      <c r="J29" s="99">
        <v>0</v>
      </c>
      <c r="K29" s="100">
        <v>0</v>
      </c>
      <c r="L29" s="101">
        <v>0</v>
      </c>
      <c r="M29" s="100">
        <v>0</v>
      </c>
      <c r="N29" s="101">
        <v>0</v>
      </c>
      <c r="O29" s="99">
        <v>0</v>
      </c>
      <c r="P29" s="101">
        <v>0</v>
      </c>
      <c r="Q29" s="101">
        <v>0</v>
      </c>
      <c r="R29" s="99">
        <v>0</v>
      </c>
      <c r="S29" s="100">
        <v>0</v>
      </c>
      <c r="T29" s="100">
        <v>0</v>
      </c>
      <c r="U29" s="101">
        <v>0</v>
      </c>
      <c r="V29" s="99">
        <v>0</v>
      </c>
      <c r="W29" s="101">
        <v>0</v>
      </c>
      <c r="X29" s="101">
        <v>0</v>
      </c>
      <c r="Y29" s="101">
        <v>0</v>
      </c>
      <c r="Z29" s="102">
        <v>0</v>
      </c>
    </row>
    <row r="30" spans="1:26" ht="20.100000000000001" customHeight="1">
      <c r="A30" s="5"/>
      <c r="B30" s="112" t="s">
        <v>24</v>
      </c>
      <c r="C30" s="90">
        <f t="shared" si="0"/>
        <v>0</v>
      </c>
      <c r="D30" s="91">
        <f t="shared" si="1"/>
        <v>0</v>
      </c>
      <c r="E30" s="92">
        <f t="shared" si="2"/>
        <v>0</v>
      </c>
      <c r="F30" s="89">
        <f t="shared" si="3"/>
        <v>0</v>
      </c>
      <c r="G30" s="113">
        <f t="shared" si="4"/>
        <v>0</v>
      </c>
      <c r="H30" s="109">
        <f t="shared" si="5"/>
        <v>0</v>
      </c>
      <c r="I30" s="98">
        <v>0</v>
      </c>
      <c r="J30" s="99">
        <v>0</v>
      </c>
      <c r="K30" s="100">
        <v>0</v>
      </c>
      <c r="L30" s="101">
        <v>0</v>
      </c>
      <c r="M30" s="100">
        <v>0</v>
      </c>
      <c r="N30" s="101">
        <v>0</v>
      </c>
      <c r="O30" s="99">
        <v>0</v>
      </c>
      <c r="P30" s="101">
        <v>0</v>
      </c>
      <c r="Q30" s="101">
        <v>0</v>
      </c>
      <c r="R30" s="99">
        <v>0</v>
      </c>
      <c r="S30" s="100">
        <v>0</v>
      </c>
      <c r="T30" s="100">
        <v>0</v>
      </c>
      <c r="U30" s="101">
        <v>0</v>
      </c>
      <c r="V30" s="99">
        <v>0</v>
      </c>
      <c r="W30" s="101">
        <v>0</v>
      </c>
      <c r="X30" s="101">
        <v>0</v>
      </c>
      <c r="Y30" s="101">
        <v>0</v>
      </c>
      <c r="Z30" s="102">
        <v>0</v>
      </c>
    </row>
    <row r="31" spans="1:26" ht="20.100000000000001" customHeight="1">
      <c r="A31" s="5"/>
      <c r="B31" s="112" t="s">
        <v>12</v>
      </c>
      <c r="C31" s="90">
        <f t="shared" si="0"/>
        <v>23</v>
      </c>
      <c r="D31" s="91">
        <f t="shared" si="1"/>
        <v>29</v>
      </c>
      <c r="E31" s="92">
        <f t="shared" si="2"/>
        <v>26</v>
      </c>
      <c r="F31" s="89">
        <f t="shared" si="3"/>
        <v>254</v>
      </c>
      <c r="G31" s="113">
        <f t="shared" si="4"/>
        <v>7.7016373559733176E-2</v>
      </c>
      <c r="H31" s="109">
        <f t="shared" si="5"/>
        <v>1.0493480897513645</v>
      </c>
      <c r="I31" s="98">
        <v>0</v>
      </c>
      <c r="J31" s="99">
        <v>0</v>
      </c>
      <c r="K31" s="100">
        <v>21</v>
      </c>
      <c r="L31" s="101">
        <v>0</v>
      </c>
      <c r="M31" s="100">
        <v>0</v>
      </c>
      <c r="N31" s="101">
        <v>0</v>
      </c>
      <c r="O31" s="99">
        <v>29</v>
      </c>
      <c r="P31" s="101">
        <v>1</v>
      </c>
      <c r="Q31" s="101">
        <v>1</v>
      </c>
      <c r="R31" s="99">
        <v>0</v>
      </c>
      <c r="S31" s="100">
        <v>2</v>
      </c>
      <c r="T31" s="100">
        <v>0</v>
      </c>
      <c r="U31" s="101">
        <v>8</v>
      </c>
      <c r="V31" s="99">
        <v>0</v>
      </c>
      <c r="W31" s="101">
        <v>8</v>
      </c>
      <c r="X31" s="101">
        <v>0</v>
      </c>
      <c r="Y31" s="101">
        <v>8</v>
      </c>
      <c r="Z31" s="102">
        <v>0</v>
      </c>
    </row>
    <row r="32" spans="1:26" ht="20.100000000000001" customHeight="1">
      <c r="A32" s="5"/>
      <c r="B32" s="112" t="s">
        <v>37</v>
      </c>
      <c r="C32" s="90">
        <f t="shared" si="0"/>
        <v>0</v>
      </c>
      <c r="D32" s="91">
        <f t="shared" si="1"/>
        <v>0</v>
      </c>
      <c r="E32" s="92">
        <f t="shared" si="2"/>
        <v>0</v>
      </c>
      <c r="F32" s="89">
        <f t="shared" si="3"/>
        <v>0</v>
      </c>
      <c r="G32" s="113">
        <f t="shared" si="4"/>
        <v>0</v>
      </c>
      <c r="H32" s="109">
        <f t="shared" si="5"/>
        <v>0</v>
      </c>
      <c r="I32" s="98">
        <v>0</v>
      </c>
      <c r="J32" s="99">
        <v>0</v>
      </c>
      <c r="K32" s="100">
        <v>0</v>
      </c>
      <c r="L32" s="101">
        <v>0</v>
      </c>
      <c r="M32" s="100">
        <v>0</v>
      </c>
      <c r="N32" s="101">
        <v>0</v>
      </c>
      <c r="O32" s="99">
        <v>0</v>
      </c>
      <c r="P32" s="101">
        <v>0</v>
      </c>
      <c r="Q32" s="101">
        <v>0</v>
      </c>
      <c r="R32" s="99">
        <v>0</v>
      </c>
      <c r="S32" s="100">
        <v>0</v>
      </c>
      <c r="T32" s="100">
        <v>0</v>
      </c>
      <c r="U32" s="101">
        <v>0</v>
      </c>
      <c r="V32" s="99">
        <v>0</v>
      </c>
      <c r="W32" s="101">
        <v>0</v>
      </c>
      <c r="X32" s="101">
        <v>0</v>
      </c>
      <c r="Y32" s="101">
        <v>0</v>
      </c>
      <c r="Z32" s="102">
        <v>0</v>
      </c>
    </row>
    <row r="33" spans="1:26" ht="20.100000000000001" customHeight="1">
      <c r="A33" s="5"/>
      <c r="B33" s="112" t="s">
        <v>35</v>
      </c>
      <c r="C33" s="90">
        <f t="shared" si="0"/>
        <v>32</v>
      </c>
      <c r="D33" s="91">
        <f t="shared" si="1"/>
        <v>74</v>
      </c>
      <c r="E33" s="92">
        <f t="shared" si="2"/>
        <v>41</v>
      </c>
      <c r="F33" s="89">
        <f t="shared" si="3"/>
        <v>464</v>
      </c>
      <c r="G33" s="113">
        <f t="shared" si="4"/>
        <v>0.1406913280776228</v>
      </c>
      <c r="H33" s="109">
        <f t="shared" si="5"/>
        <v>1.9169193450576107</v>
      </c>
      <c r="I33" s="98">
        <v>0</v>
      </c>
      <c r="J33" s="99">
        <v>0</v>
      </c>
      <c r="K33" s="100">
        <v>26</v>
      </c>
      <c r="L33" s="101">
        <v>3</v>
      </c>
      <c r="M33" s="100">
        <v>0</v>
      </c>
      <c r="N33" s="101">
        <v>0</v>
      </c>
      <c r="O33" s="99">
        <v>74</v>
      </c>
      <c r="P33" s="101">
        <v>9</v>
      </c>
      <c r="Q33" s="101">
        <v>27</v>
      </c>
      <c r="R33" s="99">
        <v>0</v>
      </c>
      <c r="S33" s="100">
        <f>5+1</f>
        <v>6</v>
      </c>
      <c r="T33" s="100">
        <v>0</v>
      </c>
      <c r="U33" s="101">
        <v>1</v>
      </c>
      <c r="V33" s="99">
        <v>0</v>
      </c>
      <c r="W33" s="101">
        <v>0</v>
      </c>
      <c r="X33" s="101">
        <v>1</v>
      </c>
      <c r="Y33" s="101">
        <v>0</v>
      </c>
      <c r="Z33" s="102">
        <v>0</v>
      </c>
    </row>
    <row r="34" spans="1:26" ht="20.100000000000001" customHeight="1">
      <c r="A34" s="5"/>
      <c r="B34" s="112" t="s">
        <v>36</v>
      </c>
      <c r="C34" s="90">
        <f t="shared" si="0"/>
        <v>0</v>
      </c>
      <c r="D34" s="91">
        <f t="shared" si="1"/>
        <v>0</v>
      </c>
      <c r="E34" s="92">
        <f t="shared" si="2"/>
        <v>0</v>
      </c>
      <c r="F34" s="89">
        <f t="shared" si="3"/>
        <v>0</v>
      </c>
      <c r="G34" s="113">
        <f t="shared" si="4"/>
        <v>0</v>
      </c>
      <c r="H34" s="109">
        <f t="shared" si="5"/>
        <v>0</v>
      </c>
      <c r="I34" s="98">
        <v>0</v>
      </c>
      <c r="J34" s="99">
        <v>0</v>
      </c>
      <c r="K34" s="100">
        <v>0</v>
      </c>
      <c r="L34" s="101">
        <v>0</v>
      </c>
      <c r="M34" s="100">
        <v>0</v>
      </c>
      <c r="N34" s="101">
        <v>0</v>
      </c>
      <c r="O34" s="99">
        <v>0</v>
      </c>
      <c r="P34" s="101">
        <v>0</v>
      </c>
      <c r="Q34" s="101">
        <v>0</v>
      </c>
      <c r="R34" s="99">
        <v>0</v>
      </c>
      <c r="S34" s="100">
        <v>0</v>
      </c>
      <c r="T34" s="100">
        <v>0</v>
      </c>
      <c r="U34" s="101">
        <v>0</v>
      </c>
      <c r="V34" s="99">
        <v>0</v>
      </c>
      <c r="W34" s="101">
        <v>0</v>
      </c>
      <c r="X34" s="101">
        <v>0</v>
      </c>
      <c r="Y34" s="101">
        <v>0</v>
      </c>
      <c r="Z34" s="102">
        <v>0</v>
      </c>
    </row>
    <row r="35" spans="1:26" ht="20.100000000000001" customHeight="1">
      <c r="A35" s="5"/>
      <c r="B35" s="112" t="s">
        <v>51</v>
      </c>
      <c r="C35" s="90">
        <f t="shared" si="0"/>
        <v>6</v>
      </c>
      <c r="D35" s="91">
        <f t="shared" si="1"/>
        <v>30</v>
      </c>
      <c r="E35" s="92">
        <f t="shared" si="2"/>
        <v>9</v>
      </c>
      <c r="F35" s="89">
        <f t="shared" si="3"/>
        <v>138</v>
      </c>
      <c r="G35" s="113">
        <f t="shared" si="4"/>
        <v>4.1843541540327468E-2</v>
      </c>
      <c r="H35" s="109">
        <f t="shared" si="5"/>
        <v>0.57011825348696177</v>
      </c>
      <c r="I35" s="98">
        <v>0</v>
      </c>
      <c r="J35" s="99">
        <v>0</v>
      </c>
      <c r="K35" s="100">
        <v>6</v>
      </c>
      <c r="L35" s="101">
        <v>0</v>
      </c>
      <c r="M35" s="100">
        <v>0</v>
      </c>
      <c r="N35" s="101">
        <v>0</v>
      </c>
      <c r="O35" s="99">
        <v>25</v>
      </c>
      <c r="P35" s="101">
        <v>1</v>
      </c>
      <c r="Q35" s="101">
        <v>4</v>
      </c>
      <c r="R35" s="99">
        <v>0</v>
      </c>
      <c r="S35" s="100">
        <v>0</v>
      </c>
      <c r="T35" s="100">
        <v>0</v>
      </c>
      <c r="U35" s="101">
        <v>1</v>
      </c>
      <c r="V35" s="99">
        <v>5</v>
      </c>
      <c r="W35" s="101">
        <v>3</v>
      </c>
      <c r="X35" s="101">
        <v>0</v>
      </c>
      <c r="Y35" s="101">
        <v>0</v>
      </c>
      <c r="Z35" s="102">
        <v>0</v>
      </c>
    </row>
    <row r="36" spans="1:26" ht="20.100000000000001" customHeight="1">
      <c r="A36" s="5"/>
      <c r="B36" s="112" t="s">
        <v>52</v>
      </c>
      <c r="C36" s="90">
        <f t="shared" si="0"/>
        <v>7</v>
      </c>
      <c r="D36" s="91">
        <f t="shared" si="1"/>
        <v>24</v>
      </c>
      <c r="E36" s="92">
        <f t="shared" si="2"/>
        <v>35</v>
      </c>
      <c r="F36" s="89">
        <f t="shared" si="3"/>
        <v>177</v>
      </c>
      <c r="G36" s="113">
        <f t="shared" si="4"/>
        <v>5.3668890236506971E-2</v>
      </c>
      <c r="H36" s="109">
        <f t="shared" si="5"/>
        <v>0.73123862947240748</v>
      </c>
      <c r="I36" s="98">
        <v>0</v>
      </c>
      <c r="J36" s="99">
        <v>0</v>
      </c>
      <c r="K36" s="100">
        <v>7</v>
      </c>
      <c r="L36" s="101">
        <v>0</v>
      </c>
      <c r="M36" s="100">
        <v>0</v>
      </c>
      <c r="N36" s="101">
        <v>0</v>
      </c>
      <c r="O36" s="99">
        <v>17</v>
      </c>
      <c r="P36" s="101">
        <v>1</v>
      </c>
      <c r="Q36" s="101">
        <v>2</v>
      </c>
      <c r="R36" s="99">
        <v>0</v>
      </c>
      <c r="S36" s="100">
        <v>0</v>
      </c>
      <c r="T36" s="100">
        <v>0</v>
      </c>
      <c r="U36" s="101">
        <v>2</v>
      </c>
      <c r="V36" s="99">
        <f>2+4</f>
        <v>6</v>
      </c>
      <c r="W36" s="101">
        <v>14</v>
      </c>
      <c r="X36" s="101">
        <v>1</v>
      </c>
      <c r="Y36" s="101">
        <v>15</v>
      </c>
      <c r="Z36" s="102">
        <v>1</v>
      </c>
    </row>
    <row r="37" spans="1:26" ht="20.100000000000001" customHeight="1">
      <c r="A37" s="5"/>
      <c r="B37" s="112" t="s">
        <v>53</v>
      </c>
      <c r="C37" s="90">
        <f t="shared" si="0"/>
        <v>0</v>
      </c>
      <c r="D37" s="91">
        <f t="shared" si="1"/>
        <v>0</v>
      </c>
      <c r="E37" s="92">
        <f t="shared" si="2"/>
        <v>0</v>
      </c>
      <c r="F37" s="89">
        <f t="shared" si="3"/>
        <v>0</v>
      </c>
      <c r="G37" s="113">
        <f t="shared" si="4"/>
        <v>0</v>
      </c>
      <c r="H37" s="109">
        <f t="shared" si="5"/>
        <v>0</v>
      </c>
      <c r="I37" s="98">
        <v>0</v>
      </c>
      <c r="J37" s="99">
        <v>0</v>
      </c>
      <c r="K37" s="100">
        <v>0</v>
      </c>
      <c r="L37" s="101">
        <v>0</v>
      </c>
      <c r="M37" s="100">
        <v>0</v>
      </c>
      <c r="N37" s="101">
        <v>0</v>
      </c>
      <c r="O37" s="99">
        <v>0</v>
      </c>
      <c r="P37" s="101">
        <v>0</v>
      </c>
      <c r="Q37" s="101">
        <v>0</v>
      </c>
      <c r="R37" s="99">
        <v>0</v>
      </c>
      <c r="S37" s="100">
        <v>0</v>
      </c>
      <c r="T37" s="100">
        <v>0</v>
      </c>
      <c r="U37" s="101">
        <v>0</v>
      </c>
      <c r="V37" s="99">
        <v>0</v>
      </c>
      <c r="W37" s="101">
        <v>0</v>
      </c>
      <c r="X37" s="101">
        <v>0</v>
      </c>
      <c r="Y37" s="101">
        <v>0</v>
      </c>
      <c r="Z37" s="102">
        <v>0</v>
      </c>
    </row>
    <row r="38" spans="1:26" ht="20.100000000000001" customHeight="1">
      <c r="A38" s="5"/>
      <c r="B38" s="112" t="s">
        <v>58</v>
      </c>
      <c r="C38" s="90">
        <f t="shared" si="0"/>
        <v>0</v>
      </c>
      <c r="D38" s="91">
        <f t="shared" si="1"/>
        <v>0</v>
      </c>
      <c r="E38" s="92">
        <f t="shared" si="2"/>
        <v>0</v>
      </c>
      <c r="F38" s="89">
        <v>0</v>
      </c>
      <c r="G38" s="113">
        <f t="shared" si="4"/>
        <v>0</v>
      </c>
      <c r="H38" s="109">
        <f t="shared" si="5"/>
        <v>0</v>
      </c>
      <c r="I38" s="98">
        <v>0</v>
      </c>
      <c r="J38" s="99">
        <v>0</v>
      </c>
      <c r="K38" s="100">
        <v>0</v>
      </c>
      <c r="L38" s="101">
        <v>0</v>
      </c>
      <c r="M38" s="100">
        <v>0</v>
      </c>
      <c r="N38" s="101">
        <v>0</v>
      </c>
      <c r="O38" s="99">
        <v>0</v>
      </c>
      <c r="P38" s="101">
        <v>0</v>
      </c>
      <c r="Q38" s="101">
        <v>0</v>
      </c>
      <c r="R38" s="99">
        <v>0</v>
      </c>
      <c r="S38" s="100">
        <v>0</v>
      </c>
      <c r="T38" s="100">
        <v>0</v>
      </c>
      <c r="U38" s="101">
        <v>0</v>
      </c>
      <c r="V38" s="99">
        <v>0</v>
      </c>
      <c r="W38" s="101">
        <v>0</v>
      </c>
      <c r="X38" s="101">
        <v>0</v>
      </c>
      <c r="Y38" s="101">
        <v>0</v>
      </c>
      <c r="Z38" s="102">
        <v>0</v>
      </c>
    </row>
    <row r="39" spans="1:26" ht="20.100000000000001" customHeight="1">
      <c r="A39" s="5"/>
      <c r="B39" s="112" t="s">
        <v>54</v>
      </c>
      <c r="C39" s="90">
        <f t="shared" si="0"/>
        <v>0</v>
      </c>
      <c r="D39" s="91">
        <f t="shared" si="1"/>
        <v>0</v>
      </c>
      <c r="E39" s="92">
        <f t="shared" si="2"/>
        <v>0</v>
      </c>
      <c r="F39" s="89">
        <f t="shared" si="3"/>
        <v>0</v>
      </c>
      <c r="G39" s="113">
        <f t="shared" si="4"/>
        <v>0</v>
      </c>
      <c r="H39" s="109">
        <f t="shared" si="5"/>
        <v>0</v>
      </c>
      <c r="I39" s="98">
        <v>0</v>
      </c>
      <c r="J39" s="99">
        <v>0</v>
      </c>
      <c r="K39" s="100">
        <v>0</v>
      </c>
      <c r="L39" s="101">
        <v>0</v>
      </c>
      <c r="M39" s="100">
        <v>0</v>
      </c>
      <c r="N39" s="101">
        <v>0</v>
      </c>
      <c r="O39" s="99">
        <v>0</v>
      </c>
      <c r="P39" s="101">
        <v>0</v>
      </c>
      <c r="Q39" s="101">
        <v>0</v>
      </c>
      <c r="R39" s="99">
        <v>0</v>
      </c>
      <c r="S39" s="100">
        <v>0</v>
      </c>
      <c r="T39" s="100">
        <v>0</v>
      </c>
      <c r="U39" s="101">
        <v>0</v>
      </c>
      <c r="V39" s="99">
        <v>0</v>
      </c>
      <c r="W39" s="101">
        <v>0</v>
      </c>
      <c r="X39" s="101">
        <v>0</v>
      </c>
      <c r="Y39" s="101">
        <v>0</v>
      </c>
      <c r="Z39" s="102">
        <v>0</v>
      </c>
    </row>
    <row r="40" spans="1:26" ht="20.100000000000001" customHeight="1">
      <c r="A40" s="5"/>
      <c r="B40" s="112" t="s">
        <v>55</v>
      </c>
      <c r="C40" s="90">
        <f t="shared" si="0"/>
        <v>0</v>
      </c>
      <c r="D40" s="91">
        <f t="shared" si="1"/>
        <v>0</v>
      </c>
      <c r="E40" s="92">
        <f t="shared" si="2"/>
        <v>0</v>
      </c>
      <c r="F40" s="89">
        <f t="shared" si="3"/>
        <v>0</v>
      </c>
      <c r="G40" s="113">
        <f t="shared" si="4"/>
        <v>0</v>
      </c>
      <c r="H40" s="109">
        <f t="shared" si="5"/>
        <v>0</v>
      </c>
      <c r="I40" s="98">
        <v>0</v>
      </c>
      <c r="J40" s="99">
        <v>0</v>
      </c>
      <c r="K40" s="100">
        <v>0</v>
      </c>
      <c r="L40" s="101">
        <v>0</v>
      </c>
      <c r="M40" s="100">
        <v>0</v>
      </c>
      <c r="N40" s="101">
        <v>0</v>
      </c>
      <c r="O40" s="99">
        <v>0</v>
      </c>
      <c r="P40" s="101">
        <v>0</v>
      </c>
      <c r="Q40" s="101">
        <v>0</v>
      </c>
      <c r="R40" s="99">
        <v>0</v>
      </c>
      <c r="S40" s="100">
        <v>0</v>
      </c>
      <c r="T40" s="100">
        <v>0</v>
      </c>
      <c r="U40" s="101">
        <v>0</v>
      </c>
      <c r="V40" s="99">
        <v>0</v>
      </c>
      <c r="W40" s="101">
        <v>0</v>
      </c>
      <c r="X40" s="101">
        <v>0</v>
      </c>
      <c r="Y40" s="101">
        <v>0</v>
      </c>
      <c r="Z40" s="102">
        <v>0</v>
      </c>
    </row>
    <row r="41" spans="1:26" ht="20.100000000000001" customHeight="1">
      <c r="A41" s="5"/>
      <c r="B41" s="112" t="s">
        <v>56</v>
      </c>
      <c r="C41" s="90">
        <f t="shared" si="0"/>
        <v>0</v>
      </c>
      <c r="D41" s="91">
        <f t="shared" si="1"/>
        <v>0</v>
      </c>
      <c r="E41" s="92">
        <f t="shared" si="2"/>
        <v>0</v>
      </c>
      <c r="F41" s="89">
        <f t="shared" si="3"/>
        <v>0</v>
      </c>
      <c r="G41" s="113">
        <f t="shared" si="4"/>
        <v>0</v>
      </c>
      <c r="H41" s="109">
        <f t="shared" si="5"/>
        <v>0</v>
      </c>
      <c r="I41" s="98">
        <v>0</v>
      </c>
      <c r="J41" s="99">
        <v>0</v>
      </c>
      <c r="K41" s="100">
        <v>0</v>
      </c>
      <c r="L41" s="101">
        <v>0</v>
      </c>
      <c r="M41" s="100">
        <v>0</v>
      </c>
      <c r="N41" s="101">
        <v>0</v>
      </c>
      <c r="O41" s="99">
        <v>0</v>
      </c>
      <c r="P41" s="101">
        <v>0</v>
      </c>
      <c r="Q41" s="101">
        <v>0</v>
      </c>
      <c r="R41" s="99">
        <v>0</v>
      </c>
      <c r="S41" s="100">
        <v>0</v>
      </c>
      <c r="T41" s="100">
        <v>0</v>
      </c>
      <c r="U41" s="101">
        <v>0</v>
      </c>
      <c r="V41" s="99">
        <v>0</v>
      </c>
      <c r="W41" s="101">
        <v>0</v>
      </c>
      <c r="X41" s="101">
        <v>0</v>
      </c>
      <c r="Y41" s="101">
        <v>0</v>
      </c>
      <c r="Z41" s="102">
        <v>0</v>
      </c>
    </row>
    <row r="42" spans="1:26" ht="20.100000000000001" customHeight="1">
      <c r="A42" s="5"/>
      <c r="B42" s="112" t="s">
        <v>57</v>
      </c>
      <c r="C42" s="90">
        <f t="shared" si="0"/>
        <v>0</v>
      </c>
      <c r="D42" s="91">
        <f t="shared" si="1"/>
        <v>0</v>
      </c>
      <c r="E42" s="92">
        <f t="shared" si="2"/>
        <v>0</v>
      </c>
      <c r="F42" s="89">
        <f t="shared" si="3"/>
        <v>0</v>
      </c>
      <c r="G42" s="113">
        <f t="shared" si="4"/>
        <v>0</v>
      </c>
      <c r="H42" s="109">
        <f t="shared" si="5"/>
        <v>0</v>
      </c>
      <c r="I42" s="98">
        <v>0</v>
      </c>
      <c r="J42" s="99">
        <v>0</v>
      </c>
      <c r="K42" s="100">
        <v>0</v>
      </c>
      <c r="L42" s="101">
        <v>0</v>
      </c>
      <c r="M42" s="100">
        <v>0</v>
      </c>
      <c r="N42" s="101">
        <v>0</v>
      </c>
      <c r="O42" s="99">
        <v>0</v>
      </c>
      <c r="P42" s="101">
        <v>0</v>
      </c>
      <c r="Q42" s="101">
        <v>0</v>
      </c>
      <c r="R42" s="99">
        <v>0</v>
      </c>
      <c r="S42" s="100">
        <v>0</v>
      </c>
      <c r="T42" s="100">
        <v>0</v>
      </c>
      <c r="U42" s="101">
        <v>0</v>
      </c>
      <c r="V42" s="99">
        <v>0</v>
      </c>
      <c r="W42" s="101">
        <v>0</v>
      </c>
      <c r="X42" s="101">
        <v>0</v>
      </c>
      <c r="Y42" s="101">
        <v>0</v>
      </c>
      <c r="Z42" s="102">
        <v>0</v>
      </c>
    </row>
    <row r="43" spans="1:26" ht="20.100000000000001" customHeight="1" thickBot="1">
      <c r="A43" s="5"/>
      <c r="B43" s="121" t="s">
        <v>59</v>
      </c>
      <c r="C43" s="122">
        <f t="shared" si="0"/>
        <v>0</v>
      </c>
      <c r="D43" s="123">
        <f t="shared" si="1"/>
        <v>0</v>
      </c>
      <c r="E43" s="124">
        <f t="shared" si="2"/>
        <v>0</v>
      </c>
      <c r="F43" s="125">
        <f t="shared" si="3"/>
        <v>0</v>
      </c>
      <c r="G43" s="126">
        <f t="shared" si="4"/>
        <v>0</v>
      </c>
      <c r="H43" s="109">
        <f t="shared" si="5"/>
        <v>0</v>
      </c>
      <c r="I43" s="98">
        <v>0</v>
      </c>
      <c r="J43" s="99">
        <v>0</v>
      </c>
      <c r="K43" s="100">
        <v>0</v>
      </c>
      <c r="L43" s="101">
        <v>0</v>
      </c>
      <c r="M43" s="100">
        <v>0</v>
      </c>
      <c r="N43" s="101">
        <v>0</v>
      </c>
      <c r="O43" s="99">
        <v>0</v>
      </c>
      <c r="P43" s="101">
        <v>0</v>
      </c>
      <c r="Q43" s="101">
        <v>0</v>
      </c>
      <c r="R43" s="99">
        <v>0</v>
      </c>
      <c r="S43" s="100">
        <v>0</v>
      </c>
      <c r="T43" s="100">
        <v>0</v>
      </c>
      <c r="U43" s="101">
        <v>0</v>
      </c>
      <c r="V43" s="99">
        <v>0</v>
      </c>
      <c r="W43" s="101">
        <v>0</v>
      </c>
      <c r="X43" s="101">
        <v>0</v>
      </c>
      <c r="Y43" s="101">
        <v>0</v>
      </c>
      <c r="Z43" s="102">
        <v>0</v>
      </c>
    </row>
    <row r="44" spans="1:26" ht="20.100000000000001" customHeight="1" thickBot="1">
      <c r="B44" s="117" t="s">
        <v>13</v>
      </c>
      <c r="C44" s="118">
        <f>SUM(C7:C43)</f>
        <v>203</v>
      </c>
      <c r="D44" s="119">
        <f>SUM(D7:D43)</f>
        <v>479</v>
      </c>
      <c r="E44" s="120">
        <f>SUM(E7:E43)</f>
        <v>423</v>
      </c>
      <c r="F44" s="127">
        <f>SUM(F8:F43)</f>
        <v>3298</v>
      </c>
      <c r="G44" s="128">
        <f>F44/$F$44</f>
        <v>1</v>
      </c>
      <c r="H44" s="110">
        <f>SUM(H8:H43)</f>
        <v>13.625</v>
      </c>
      <c r="I44" s="98">
        <v>0</v>
      </c>
      <c r="J44" s="99">
        <v>0</v>
      </c>
      <c r="K44" s="100">
        <v>0</v>
      </c>
      <c r="L44" s="101">
        <v>0</v>
      </c>
      <c r="M44" s="100">
        <v>0</v>
      </c>
      <c r="N44" s="101">
        <v>0</v>
      </c>
      <c r="O44" s="99">
        <v>0</v>
      </c>
      <c r="P44" s="101">
        <v>0</v>
      </c>
      <c r="Q44" s="101">
        <v>0</v>
      </c>
      <c r="R44" s="99">
        <v>0</v>
      </c>
      <c r="S44" s="100">
        <v>0</v>
      </c>
      <c r="T44" s="100">
        <v>0</v>
      </c>
      <c r="U44" s="101">
        <v>0</v>
      </c>
      <c r="V44" s="99">
        <v>0</v>
      </c>
      <c r="W44" s="101">
        <v>0</v>
      </c>
      <c r="X44" s="101">
        <v>0</v>
      </c>
      <c r="Y44" s="101">
        <v>0</v>
      </c>
      <c r="Z44" s="102">
        <v>0</v>
      </c>
    </row>
    <row r="45" spans="1:26" ht="20.100000000000001" customHeight="1" thickBot="1">
      <c r="B45" s="114" t="s">
        <v>33</v>
      </c>
      <c r="C45" s="115">
        <v>5</v>
      </c>
      <c r="D45" s="116">
        <v>3</v>
      </c>
      <c r="E45" s="129">
        <v>2</v>
      </c>
      <c r="F45" s="130"/>
      <c r="G45" s="131"/>
      <c r="H45" s="132"/>
      <c r="I45" s="103">
        <v>0</v>
      </c>
      <c r="J45" s="104">
        <v>0</v>
      </c>
      <c r="K45" s="105">
        <v>0</v>
      </c>
      <c r="L45" s="106">
        <v>0</v>
      </c>
      <c r="M45" s="105">
        <v>0</v>
      </c>
      <c r="N45" s="106">
        <v>0</v>
      </c>
      <c r="O45" s="104">
        <v>0</v>
      </c>
      <c r="P45" s="106">
        <v>0</v>
      </c>
      <c r="Q45" s="106">
        <v>0</v>
      </c>
      <c r="R45" s="104">
        <v>0</v>
      </c>
      <c r="S45" s="105">
        <v>0</v>
      </c>
      <c r="T45" s="105">
        <v>0</v>
      </c>
      <c r="U45" s="106">
        <v>0</v>
      </c>
      <c r="V45" s="104">
        <v>0</v>
      </c>
      <c r="W45" s="106">
        <v>0</v>
      </c>
      <c r="X45" s="106">
        <v>0</v>
      </c>
      <c r="Y45" s="106">
        <v>0</v>
      </c>
      <c r="Z45" s="107">
        <v>0</v>
      </c>
    </row>
    <row r="46" spans="1:26" ht="18"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8"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8"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</sheetData>
  <mergeCells count="6">
    <mergeCell ref="I4:J4"/>
    <mergeCell ref="K4:R4"/>
    <mergeCell ref="S4:Z4"/>
    <mergeCell ref="H5:H6"/>
    <mergeCell ref="F6:G6"/>
    <mergeCell ref="C5:G5"/>
  </mergeCells>
  <phoneticPr fontId="0" type="noConversion"/>
  <conditionalFormatting sqref="R6:Z6 I6:P6">
    <cfRule type="cellIs" dxfId="7" priority="5" operator="equal">
      <formula>"&lt;&gt;"</formula>
    </cfRule>
    <cfRule type="cellIs" dxfId="6" priority="6" operator="equal">
      <formula>3</formula>
    </cfRule>
    <cfRule type="cellIs" dxfId="5" priority="7" operator="equal">
      <formula>2</formula>
    </cfRule>
    <cfRule type="cellIs" dxfId="4" priority="8" operator="equal">
      <formula>1</formula>
    </cfRule>
  </conditionalFormatting>
  <conditionalFormatting sqref="Q6">
    <cfRule type="cellIs" dxfId="3" priority="1" operator="equal">
      <formula>"&lt;&gt;"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rintOptions gridLinesSet="0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&amp;A</oddHead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4"/>
  <sheetViews>
    <sheetView showGridLines="0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" sqref="I4"/>
    </sheetView>
  </sheetViews>
  <sheetFormatPr defaultColWidth="11.42578125" defaultRowHeight="12.75"/>
  <cols>
    <col min="1" max="1" width="11.42578125" style="15" customWidth="1"/>
    <col min="2" max="9" width="10.7109375" style="15" customWidth="1"/>
    <col min="10" max="10" width="11.42578125" style="1" customWidth="1"/>
    <col min="11" max="13" width="11.42578125" customWidth="1"/>
  </cols>
  <sheetData>
    <row r="1" spans="1:19" ht="7.5" customHeight="1" thickBot="1">
      <c r="M1" s="222" t="s">
        <v>87</v>
      </c>
      <c r="N1" s="222"/>
      <c r="O1" s="222"/>
      <c r="P1" s="222"/>
      <c r="Q1" s="222"/>
      <c r="R1" s="222"/>
      <c r="S1" s="222"/>
    </row>
    <row r="2" spans="1:19" ht="15">
      <c r="A2" s="209"/>
      <c r="B2" s="215" t="s">
        <v>27</v>
      </c>
      <c r="C2" s="217" t="s">
        <v>28</v>
      </c>
      <c r="D2" s="215" t="s">
        <v>29</v>
      </c>
      <c r="E2" s="219" t="s">
        <v>26</v>
      </c>
      <c r="F2" s="211" t="s">
        <v>47</v>
      </c>
      <c r="G2" s="211" t="s">
        <v>48</v>
      </c>
      <c r="H2" s="211" t="s">
        <v>49</v>
      </c>
      <c r="I2" s="213" t="s">
        <v>26</v>
      </c>
      <c r="M2" s="223" t="s">
        <v>88</v>
      </c>
      <c r="N2" s="223"/>
      <c r="O2" s="224" t="s">
        <v>89</v>
      </c>
      <c r="P2" s="224"/>
      <c r="Q2" s="224"/>
      <c r="R2" s="224"/>
      <c r="S2" s="223" t="s">
        <v>90</v>
      </c>
    </row>
    <row r="3" spans="1:19" s="14" customFormat="1" ht="15.75" thickBot="1">
      <c r="A3" s="210"/>
      <c r="B3" s="216"/>
      <c r="C3" s="218"/>
      <c r="D3" s="216"/>
      <c r="E3" s="220"/>
      <c r="F3" s="212"/>
      <c r="G3" s="212"/>
      <c r="H3" s="212"/>
      <c r="I3" s="214"/>
      <c r="J3" s="17"/>
      <c r="M3" s="223"/>
      <c r="N3" s="223"/>
      <c r="O3" s="224" t="s">
        <v>91</v>
      </c>
      <c r="P3" s="224"/>
      <c r="Q3" s="224" t="s">
        <v>92</v>
      </c>
      <c r="R3" s="224"/>
      <c r="S3" s="223"/>
    </row>
    <row r="4" spans="1:19" ht="15.75" thickBot="1">
      <c r="A4" s="16" t="s">
        <v>30</v>
      </c>
      <c r="B4" s="57">
        <v>7</v>
      </c>
      <c r="C4" s="57">
        <v>7</v>
      </c>
      <c r="D4" s="57">
        <v>3</v>
      </c>
      <c r="E4" s="57"/>
      <c r="F4" s="57">
        <v>2</v>
      </c>
      <c r="G4" s="57">
        <v>3</v>
      </c>
      <c r="H4" s="57">
        <v>5</v>
      </c>
      <c r="I4" s="63"/>
      <c r="M4" s="152" t="s">
        <v>93</v>
      </c>
      <c r="N4" s="153" t="s">
        <v>31</v>
      </c>
      <c r="O4" s="153" t="s">
        <v>94</v>
      </c>
      <c r="P4" s="153" t="s">
        <v>95</v>
      </c>
      <c r="Q4" s="153" t="s">
        <v>96</v>
      </c>
      <c r="R4" s="153" t="s">
        <v>97</v>
      </c>
      <c r="S4" s="223"/>
    </row>
    <row r="5" spans="1:19" ht="15">
      <c r="A5" s="166" t="s">
        <v>0</v>
      </c>
      <c r="B5" s="167"/>
      <c r="C5" s="167"/>
      <c r="D5" s="164">
        <v>0</v>
      </c>
      <c r="E5" s="58">
        <f>B5*0.7+D5*0.3</f>
        <v>0</v>
      </c>
      <c r="F5" s="22"/>
      <c r="G5" s="22"/>
      <c r="H5" s="22"/>
      <c r="I5" s="64">
        <f>(F5*$F$4+G5*$G$4+H5*$H$4)</f>
        <v>0</v>
      </c>
      <c r="M5" s="154">
        <f>'[1]Relatório geral'!A5</f>
        <v>702</v>
      </c>
      <c r="N5" s="155" t="str">
        <f>'[1]Relatório geral'!B5</f>
        <v>ADM/CT</v>
      </c>
      <c r="O5" s="156">
        <f>'[1]Relatório geral'!C5</f>
        <v>0</v>
      </c>
      <c r="P5" s="156">
        <f>'[1]Relatório geral'!D5</f>
        <v>6.9734220518025625</v>
      </c>
      <c r="Q5" s="156">
        <f>'[1]Relatório geral'!E5</f>
        <v>8.5222360061651816</v>
      </c>
      <c r="R5" s="156">
        <f>'[1]Relatório geral'!F5</f>
        <v>35.670237960978909</v>
      </c>
      <c r="S5" s="157">
        <f>SUM(O5:R5)</f>
        <v>51.165896018946654</v>
      </c>
    </row>
    <row r="6" spans="1:19" ht="15">
      <c r="A6" s="168" t="s">
        <v>1</v>
      </c>
      <c r="B6" s="25">
        <v>1</v>
      </c>
      <c r="C6" s="25">
        <v>1</v>
      </c>
      <c r="D6" s="162">
        <f t="shared" ref="D6:D11" si="0">S6</f>
        <v>1.7289575579865417</v>
      </c>
      <c r="E6" s="59">
        <f>(B6+C6)*7+D6*3</f>
        <v>19.186872673959627</v>
      </c>
      <c r="F6" s="23">
        <v>8</v>
      </c>
      <c r="G6" s="23">
        <v>0</v>
      </c>
      <c r="H6" s="23">
        <v>0</v>
      </c>
      <c r="I6" s="65">
        <f t="shared" ref="I6:I42" si="1">(F6*$F$4+G6*$G$4+H6*$H$4)</f>
        <v>16</v>
      </c>
      <c r="M6" s="154">
        <f>'[1]Relatório geral'!A6</f>
        <v>705</v>
      </c>
      <c r="N6" s="155" t="str">
        <f>'[1]Relatório geral'!B6</f>
        <v>CCEC</v>
      </c>
      <c r="O6" s="156">
        <f>'[1]Relatório geral'!C6</f>
        <v>0</v>
      </c>
      <c r="P6" s="156">
        <f>'[1]Relatório geral'!D6</f>
        <v>0</v>
      </c>
      <c r="Q6" s="156">
        <f>'[1]Relatório geral'!E6</f>
        <v>0.79696252020600722</v>
      </c>
      <c r="R6" s="156">
        <f>'[1]Relatório geral'!F6</f>
        <v>0.93199503778053439</v>
      </c>
      <c r="S6" s="157">
        <f t="shared" ref="S6:S43" si="2">SUM(O6:R6)</f>
        <v>1.7289575579865417</v>
      </c>
    </row>
    <row r="7" spans="1:19" s="15" customFormat="1" ht="15">
      <c r="A7" s="168" t="s">
        <v>2</v>
      </c>
      <c r="B7" s="25">
        <v>1</v>
      </c>
      <c r="C7" s="25">
        <v>1</v>
      </c>
      <c r="D7" s="162">
        <f t="shared" si="0"/>
        <v>2.8421487913988193</v>
      </c>
      <c r="E7" s="59">
        <f t="shared" ref="E7:E41" si="3">(B7+C7)*7+D7*3</f>
        <v>22.526446374196457</v>
      </c>
      <c r="F7" s="23">
        <v>13</v>
      </c>
      <c r="G7" s="23">
        <f>4-2</f>
        <v>2</v>
      </c>
      <c r="H7" s="23">
        <f>2-1</f>
        <v>1</v>
      </c>
      <c r="I7" s="65">
        <f t="shared" si="1"/>
        <v>37</v>
      </c>
      <c r="J7" s="18"/>
      <c r="M7" s="154">
        <f>'[1]Relatório geral'!A7</f>
        <v>706</v>
      </c>
      <c r="N7" s="155" t="str">
        <f>'[1]Relatório geral'!B7</f>
        <v>CCEE</v>
      </c>
      <c r="O7" s="156">
        <f>'[1]Relatório geral'!C7</f>
        <v>0</v>
      </c>
      <c r="P7" s="156">
        <f>'[1]Relatório geral'!D7</f>
        <v>0</v>
      </c>
      <c r="Q7" s="156">
        <f>'[1]Relatório geral'!E7</f>
        <v>0.16164805834367127</v>
      </c>
      <c r="R7" s="156">
        <f>'[1]Relatório geral'!F7</f>
        <v>2.680500733055148</v>
      </c>
      <c r="S7" s="157">
        <f t="shared" si="2"/>
        <v>2.8421487913988193</v>
      </c>
    </row>
    <row r="8" spans="1:19" ht="15">
      <c r="A8" s="168" t="s">
        <v>3</v>
      </c>
      <c r="B8" s="25">
        <v>1</v>
      </c>
      <c r="C8" s="25">
        <v>1</v>
      </c>
      <c r="D8" s="162">
        <f t="shared" si="0"/>
        <v>1.9555655802413441</v>
      </c>
      <c r="E8" s="59">
        <f t="shared" si="3"/>
        <v>19.866696740724031</v>
      </c>
      <c r="F8" s="23">
        <v>0</v>
      </c>
      <c r="G8" s="23">
        <v>0</v>
      </c>
      <c r="H8" s="23">
        <v>0</v>
      </c>
      <c r="I8" s="65">
        <f t="shared" si="1"/>
        <v>0</v>
      </c>
      <c r="M8" s="154">
        <f>'[1]Relatório geral'!A8</f>
        <v>707</v>
      </c>
      <c r="N8" s="155" t="str">
        <f>'[1]Relatório geral'!B8</f>
        <v>CCEM</v>
      </c>
      <c r="O8" s="156">
        <f>'[1]Relatório geral'!C8</f>
        <v>0</v>
      </c>
      <c r="P8" s="156">
        <f>'[1]Relatório geral'!D8</f>
        <v>0</v>
      </c>
      <c r="Q8" s="156">
        <f>'[1]Relatório geral'!E8</f>
        <v>0</v>
      </c>
      <c r="R8" s="156">
        <f>'[1]Relatório geral'!F8</f>
        <v>1.9555655802413441</v>
      </c>
      <c r="S8" s="157">
        <f t="shared" si="2"/>
        <v>1.9555655802413441</v>
      </c>
    </row>
    <row r="9" spans="1:19" ht="15">
      <c r="A9" s="168" t="s">
        <v>4</v>
      </c>
      <c r="B9" s="25">
        <v>1</v>
      </c>
      <c r="C9" s="25">
        <v>1</v>
      </c>
      <c r="D9" s="162">
        <f t="shared" si="0"/>
        <v>1.048832750648472</v>
      </c>
      <c r="E9" s="59">
        <f t="shared" si="3"/>
        <v>17.146498251945417</v>
      </c>
      <c r="F9" s="23">
        <v>3</v>
      </c>
      <c r="G9" s="23">
        <v>4</v>
      </c>
      <c r="H9" s="23">
        <v>0.5</v>
      </c>
      <c r="I9" s="65">
        <f t="shared" si="1"/>
        <v>20.5</v>
      </c>
      <c r="M9" s="154">
        <f>'[1]Relatório geral'!A9</f>
        <v>708</v>
      </c>
      <c r="N9" s="155" t="str">
        <f>'[1]Relatório geral'!B9</f>
        <v>CCEQ</v>
      </c>
      <c r="O9" s="156">
        <f>'[1]Relatório geral'!C9</f>
        <v>0</v>
      </c>
      <c r="P9" s="156">
        <f>'[1]Relatório geral'!D9</f>
        <v>0</v>
      </c>
      <c r="Q9" s="156">
        <f>'[1]Relatório geral'!E9</f>
        <v>0</v>
      </c>
      <c r="R9" s="156">
        <f>'[1]Relatório geral'!F9</f>
        <v>1.048832750648472</v>
      </c>
      <c r="S9" s="157">
        <f t="shared" si="2"/>
        <v>1.048832750648472</v>
      </c>
    </row>
    <row r="10" spans="1:19" s="15" customFormat="1" ht="15">
      <c r="A10" s="168" t="s">
        <v>22</v>
      </c>
      <c r="B10" s="25">
        <v>1</v>
      </c>
      <c r="C10" s="25">
        <v>3</v>
      </c>
      <c r="D10" s="162">
        <f t="shared" si="0"/>
        <v>0</v>
      </c>
      <c r="E10" s="59">
        <f t="shared" si="3"/>
        <v>28</v>
      </c>
      <c r="F10" s="23">
        <v>0.33300000000000002</v>
      </c>
      <c r="G10" s="23">
        <v>0.5</v>
      </c>
      <c r="H10" s="23">
        <v>0</v>
      </c>
      <c r="I10" s="65">
        <f t="shared" si="1"/>
        <v>2.1659999999999999</v>
      </c>
      <c r="J10" s="1"/>
      <c r="M10" s="154">
        <f>'[1]Relatório geral'!A10</f>
        <v>709</v>
      </c>
      <c r="N10" s="155" t="str">
        <f>'[1]Relatório geral'!B10</f>
        <v>PPGEE</v>
      </c>
      <c r="O10" s="156">
        <f>'[1]Relatório geral'!C10</f>
        <v>0</v>
      </c>
      <c r="P10" s="156">
        <f>'[1]Relatório geral'!D10</f>
        <v>0</v>
      </c>
      <c r="Q10" s="156">
        <f>'[1]Relatório geral'!E10</f>
        <v>0</v>
      </c>
      <c r="R10" s="156">
        <f>'[1]Relatório geral'!F10</f>
        <v>0</v>
      </c>
      <c r="S10" s="157">
        <f t="shared" si="2"/>
        <v>0</v>
      </c>
    </row>
    <row r="11" spans="1:19" ht="15">
      <c r="A11" s="168" t="s">
        <v>23</v>
      </c>
      <c r="B11" s="25">
        <v>1</v>
      </c>
      <c r="C11" s="25">
        <v>2</v>
      </c>
      <c r="D11" s="162">
        <f t="shared" si="0"/>
        <v>0.78493289725950144</v>
      </c>
      <c r="E11" s="59">
        <f t="shared" si="3"/>
        <v>23.354798691778505</v>
      </c>
      <c r="F11" s="23">
        <v>0</v>
      </c>
      <c r="G11" s="23">
        <v>0</v>
      </c>
      <c r="H11" s="23">
        <v>0</v>
      </c>
      <c r="I11" s="66">
        <f t="shared" si="1"/>
        <v>0</v>
      </c>
      <c r="J11" s="88"/>
      <c r="M11" s="154">
        <f>'[1]Relatório geral'!A11</f>
        <v>710</v>
      </c>
      <c r="N11" s="158" t="str">
        <f>'[1]Relatório geral'!B11</f>
        <v>PPGEP</v>
      </c>
      <c r="O11" s="156">
        <f>'[1]Relatório geral'!C11</f>
        <v>0</v>
      </c>
      <c r="P11" s="156">
        <f>'[1]Relatório geral'!D11</f>
        <v>0</v>
      </c>
      <c r="Q11" s="156">
        <f>'[1]Relatório geral'!E11</f>
        <v>0</v>
      </c>
      <c r="R11" s="156">
        <f>'[1]Relatório geral'!F11</f>
        <v>0.78493289725950144</v>
      </c>
      <c r="S11" s="157">
        <f t="shared" si="2"/>
        <v>0.78493289725950144</v>
      </c>
    </row>
    <row r="12" spans="1:19" ht="15">
      <c r="A12" s="168" t="s">
        <v>5</v>
      </c>
      <c r="B12" s="25">
        <v>1</v>
      </c>
      <c r="C12" s="25">
        <v>4</v>
      </c>
      <c r="D12" s="162">
        <f t="shared" ref="D12:D18" si="4">S12</f>
        <v>1.2631104093831056</v>
      </c>
      <c r="E12" s="59">
        <f t="shared" si="3"/>
        <v>38.789331228149315</v>
      </c>
      <c r="F12" s="23">
        <v>0</v>
      </c>
      <c r="G12" s="23">
        <v>0</v>
      </c>
      <c r="H12" s="23">
        <v>0</v>
      </c>
      <c r="I12" s="65">
        <f t="shared" si="1"/>
        <v>0</v>
      </c>
      <c r="M12" s="154">
        <f>'[1]Relatório geral'!A12</f>
        <v>720</v>
      </c>
      <c r="N12" s="155" t="str">
        <f>'[1]Relatório geral'!B12</f>
        <v>NAFA</v>
      </c>
      <c r="O12" s="156">
        <f>'[1]Relatório geral'!C12</f>
        <v>0</v>
      </c>
      <c r="P12" s="156">
        <f>'[1]Relatório geral'!D12</f>
        <v>0</v>
      </c>
      <c r="Q12" s="156">
        <f>'[1]Relatório geral'!E12</f>
        <v>1.2631104093831056</v>
      </c>
      <c r="R12" s="156">
        <f>'[1]Relatório geral'!F12</f>
        <v>0</v>
      </c>
      <c r="S12" s="157">
        <f t="shared" si="2"/>
        <v>1.2631104093831056</v>
      </c>
    </row>
    <row r="13" spans="1:19" ht="15">
      <c r="A13" s="168" t="s">
        <v>6</v>
      </c>
      <c r="B13" s="25">
        <v>0</v>
      </c>
      <c r="C13" s="25">
        <v>13</v>
      </c>
      <c r="D13" s="162">
        <f t="shared" si="4"/>
        <v>0</v>
      </c>
      <c r="E13" s="59">
        <f t="shared" si="3"/>
        <v>91</v>
      </c>
      <c r="F13" s="23">
        <v>0</v>
      </c>
      <c r="G13" s="23">
        <v>0</v>
      </c>
      <c r="H13" s="23">
        <v>0</v>
      </c>
      <c r="I13" s="65">
        <f t="shared" si="1"/>
        <v>0</v>
      </c>
      <c r="M13" s="154">
        <f>'[1]Relatório geral'!A13</f>
        <v>721</v>
      </c>
      <c r="N13" s="155" t="str">
        <f>'[1]Relatório geral'!B13</f>
        <v>LMCC</v>
      </c>
      <c r="O13" s="156">
        <f>'[1]Relatório geral'!C13</f>
        <v>0</v>
      </c>
      <c r="P13" s="156">
        <f>'[1]Relatório geral'!D13</f>
        <v>0</v>
      </c>
      <c r="Q13" s="156">
        <f>'[1]Relatório geral'!E13</f>
        <v>0</v>
      </c>
      <c r="R13" s="156">
        <f>'[1]Relatório geral'!F13</f>
        <v>0</v>
      </c>
      <c r="S13" s="157">
        <f t="shared" si="2"/>
        <v>0</v>
      </c>
    </row>
    <row r="14" spans="1:19" ht="15">
      <c r="A14" s="168" t="s">
        <v>7</v>
      </c>
      <c r="B14" s="25">
        <v>1</v>
      </c>
      <c r="C14" s="25">
        <v>1</v>
      </c>
      <c r="D14" s="162">
        <f t="shared" si="4"/>
        <v>13.252133378444414</v>
      </c>
      <c r="E14" s="59">
        <f t="shared" si="3"/>
        <v>53.756400135333244</v>
      </c>
      <c r="F14" s="23">
        <v>0</v>
      </c>
      <c r="G14" s="23">
        <v>0</v>
      </c>
      <c r="H14" s="23">
        <v>0</v>
      </c>
      <c r="I14" s="65">
        <f t="shared" si="1"/>
        <v>0</v>
      </c>
      <c r="M14" s="154">
        <f>'[1]Relatório geral'!A14</f>
        <v>722</v>
      </c>
      <c r="N14" s="155" t="str">
        <f>'[1]Relatório geral'!B14</f>
        <v>LACESM</v>
      </c>
      <c r="O14" s="156">
        <f>'[1]Relatório geral'!C14</f>
        <v>0</v>
      </c>
      <c r="P14" s="156">
        <f>'[1]Relatório geral'!D14</f>
        <v>11.88677117401601</v>
      </c>
      <c r="Q14" s="156">
        <f>'[1]Relatório geral'!E14</f>
        <v>0.99996240742829201</v>
      </c>
      <c r="R14" s="156">
        <f>'[1]Relatório geral'!F14</f>
        <v>0.36539979700011271</v>
      </c>
      <c r="S14" s="157">
        <f t="shared" si="2"/>
        <v>13.252133378444414</v>
      </c>
    </row>
    <row r="15" spans="1:19" ht="15">
      <c r="A15" s="168" t="s">
        <v>18</v>
      </c>
      <c r="B15" s="25"/>
      <c r="C15" s="25"/>
      <c r="D15" s="162">
        <v>0</v>
      </c>
      <c r="E15" s="60">
        <v>0</v>
      </c>
      <c r="F15" s="23"/>
      <c r="G15" s="23"/>
      <c r="H15" s="23"/>
      <c r="I15" s="65">
        <v>0</v>
      </c>
      <c r="M15" s="154">
        <f>'[1]Relatório geral'!A15</f>
        <v>724</v>
      </c>
      <c r="N15" s="155" t="str">
        <f>'[1]Relatório geral'!B15</f>
        <v>SICT</v>
      </c>
      <c r="O15" s="156">
        <f>'[1]Relatório geral'!C15</f>
        <v>0</v>
      </c>
      <c r="P15" s="156">
        <f>'[1]Relatório geral'!D15</f>
        <v>0</v>
      </c>
      <c r="Q15" s="156">
        <f>'[1]Relatório geral'!E15</f>
        <v>0</v>
      </c>
      <c r="R15" s="156">
        <f>'[1]Relatório geral'!F15</f>
        <v>0</v>
      </c>
      <c r="S15" s="157">
        <f t="shared" si="2"/>
        <v>0</v>
      </c>
    </row>
    <row r="16" spans="1:19" s="15" customFormat="1" ht="15">
      <c r="A16" s="168" t="s">
        <v>8</v>
      </c>
      <c r="B16" s="25">
        <v>0</v>
      </c>
      <c r="C16" s="25">
        <v>10</v>
      </c>
      <c r="D16" s="162">
        <f t="shared" si="4"/>
        <v>1.9548137288071876</v>
      </c>
      <c r="E16" s="59">
        <f t="shared" si="3"/>
        <v>75.864441186421558</v>
      </c>
      <c r="F16" s="23">
        <v>0.33300000000000002</v>
      </c>
      <c r="G16" s="23">
        <v>0</v>
      </c>
      <c r="H16" s="23">
        <v>0</v>
      </c>
      <c r="I16" s="65">
        <f t="shared" si="1"/>
        <v>0.66600000000000004</v>
      </c>
      <c r="J16" s="18"/>
      <c r="M16" s="154">
        <f>'[1]Relatório geral'!A16</f>
        <v>725</v>
      </c>
      <c r="N16" s="155" t="str">
        <f>'[1]Relatório geral'!B16</f>
        <v>NUPEDEE</v>
      </c>
      <c r="O16" s="156">
        <f>'[1]Relatório geral'!C16</f>
        <v>0</v>
      </c>
      <c r="P16" s="156">
        <f>'[1]Relatório geral'!D16</f>
        <v>1.5187398969963535</v>
      </c>
      <c r="Q16" s="156">
        <f>'[1]Relatório geral'!E16</f>
        <v>0.43607383181083409</v>
      </c>
      <c r="R16" s="156">
        <f>'[1]Relatório geral'!F16</f>
        <v>0</v>
      </c>
      <c r="S16" s="157">
        <f t="shared" si="2"/>
        <v>1.9548137288071876</v>
      </c>
    </row>
    <row r="17" spans="1:19" ht="15">
      <c r="A17" s="168" t="s">
        <v>15</v>
      </c>
      <c r="B17" s="25">
        <v>12</v>
      </c>
      <c r="C17" s="25">
        <v>1</v>
      </c>
      <c r="D17" s="162">
        <f t="shared" si="4"/>
        <v>6.2284876508401927</v>
      </c>
      <c r="E17" s="59">
        <f t="shared" si="3"/>
        <v>109.68546295252058</v>
      </c>
      <c r="F17" s="23">
        <v>0</v>
      </c>
      <c r="G17" s="23">
        <v>1</v>
      </c>
      <c r="H17" s="23">
        <v>0</v>
      </c>
      <c r="I17" s="65">
        <f t="shared" si="1"/>
        <v>3</v>
      </c>
      <c r="M17" s="154">
        <f>'[1]Relatório geral'!A17</f>
        <v>730</v>
      </c>
      <c r="N17" s="155" t="str">
        <f>'[1]Relatório geral'!B17</f>
        <v>DEPG</v>
      </c>
      <c r="O17" s="156">
        <f>'[1]Relatório geral'!C17</f>
        <v>6.0336077591067996</v>
      </c>
      <c r="P17" s="156">
        <f>'[1]Relatório geral'!D17</f>
        <v>0</v>
      </c>
      <c r="Q17" s="156">
        <f>'[1]Relatório geral'!E17</f>
        <v>0</v>
      </c>
      <c r="R17" s="156">
        <f>'[1]Relatório geral'!F17</f>
        <v>0.19487989173339346</v>
      </c>
      <c r="S17" s="157">
        <f t="shared" si="2"/>
        <v>6.2284876508401927</v>
      </c>
    </row>
    <row r="18" spans="1:19" ht="15">
      <c r="A18" s="168" t="s">
        <v>16</v>
      </c>
      <c r="B18" s="25">
        <v>22</v>
      </c>
      <c r="C18" s="25">
        <v>1</v>
      </c>
      <c r="D18" s="162">
        <f t="shared" si="4"/>
        <v>9.8845908048569591</v>
      </c>
      <c r="E18" s="59">
        <f t="shared" si="3"/>
        <v>190.65377241457088</v>
      </c>
      <c r="F18" s="23">
        <v>2</v>
      </c>
      <c r="G18" s="23">
        <v>0</v>
      </c>
      <c r="H18" s="23">
        <v>0</v>
      </c>
      <c r="I18" s="65">
        <f t="shared" si="1"/>
        <v>4</v>
      </c>
      <c r="M18" s="154">
        <f>'[1]Relatório geral'!A18</f>
        <v>731</v>
      </c>
      <c r="N18" s="155" t="str">
        <f>'[1]Relatório geral'!B18</f>
        <v>DECC</v>
      </c>
      <c r="O18" s="156">
        <f>'[1]Relatório geral'!C18</f>
        <v>6.9170331942408181</v>
      </c>
      <c r="P18" s="156">
        <f>'[1]Relatório geral'!D18</f>
        <v>1.0450734934776889</v>
      </c>
      <c r="Q18" s="156">
        <f>'[1]Relatório geral'!E18</f>
        <v>1.7104620127062891</v>
      </c>
      <c r="R18" s="156">
        <f>'[1]Relatório geral'!F18</f>
        <v>0.21202210443216418</v>
      </c>
      <c r="S18" s="157">
        <f t="shared" si="2"/>
        <v>9.8845908048569591</v>
      </c>
    </row>
    <row r="19" spans="1:19" ht="15">
      <c r="A19" s="168" t="s">
        <v>50</v>
      </c>
      <c r="B19" s="25">
        <v>12</v>
      </c>
      <c r="C19" s="25">
        <v>3</v>
      </c>
      <c r="D19" s="162">
        <f>S38</f>
        <v>7.5177624901319478</v>
      </c>
      <c r="E19" s="59">
        <f t="shared" si="3"/>
        <v>127.55328747039584</v>
      </c>
      <c r="F19" s="23">
        <v>3.5</v>
      </c>
      <c r="G19" s="23">
        <v>2</v>
      </c>
      <c r="H19" s="23">
        <v>0.5</v>
      </c>
      <c r="I19" s="65">
        <f t="shared" si="1"/>
        <v>15.5</v>
      </c>
      <c r="M19" s="154">
        <f>'[1]Relatório geral'!A19</f>
        <v>733</v>
      </c>
      <c r="N19" s="155" t="str">
        <f>'[1]Relatório geral'!B19</f>
        <v>DTRP</v>
      </c>
      <c r="O19" s="156">
        <f>'[1]Relatório geral'!C19</f>
        <v>1.6653509266568924</v>
      </c>
      <c r="P19" s="156">
        <f>'[1]Relatório geral'!D19</f>
        <v>0</v>
      </c>
      <c r="Q19" s="156">
        <f>'[1]Relatório geral'!E19</f>
        <v>0</v>
      </c>
      <c r="R19" s="156">
        <f>'[1]Relatório geral'!F19</f>
        <v>0</v>
      </c>
      <c r="S19" s="157">
        <f t="shared" si="2"/>
        <v>1.6653509266568924</v>
      </c>
    </row>
    <row r="20" spans="1:19" ht="15">
      <c r="A20" s="168" t="s">
        <v>17</v>
      </c>
      <c r="B20" s="25">
        <v>7</v>
      </c>
      <c r="C20" s="25">
        <v>1</v>
      </c>
      <c r="D20" s="162">
        <f>S19</f>
        <v>1.6653509266568924</v>
      </c>
      <c r="E20" s="59">
        <f t="shared" si="3"/>
        <v>60.996052779970675</v>
      </c>
      <c r="F20" s="23">
        <v>1</v>
      </c>
      <c r="G20" s="23">
        <v>0</v>
      </c>
      <c r="H20" s="23">
        <v>0</v>
      </c>
      <c r="I20" s="65">
        <f t="shared" si="1"/>
        <v>2</v>
      </c>
      <c r="M20" s="154">
        <f>'[1]Relatório geral'!A20</f>
        <v>734</v>
      </c>
      <c r="N20" s="155" t="str">
        <f>'[1]Relatório geral'!B20</f>
        <v>DEQ</v>
      </c>
      <c r="O20" s="156">
        <f>'[1]Relatório geral'!C20</f>
        <v>8.4019397767001216</v>
      </c>
      <c r="P20" s="156">
        <f>'[1]Relatório geral'!D20</f>
        <v>2.1352580730047741</v>
      </c>
      <c r="Q20" s="156">
        <f>'[1]Relatório geral'!E20</f>
        <v>0</v>
      </c>
      <c r="R20" s="156">
        <f>'[1]Relatório geral'!F20</f>
        <v>0.46013307770384571</v>
      </c>
      <c r="S20" s="157">
        <f t="shared" si="2"/>
        <v>10.997330927408742</v>
      </c>
    </row>
    <row r="21" spans="1:19" ht="15">
      <c r="A21" s="168" t="s">
        <v>19</v>
      </c>
      <c r="B21" s="169">
        <v>21</v>
      </c>
      <c r="C21" s="25">
        <v>7</v>
      </c>
      <c r="D21" s="162">
        <f t="shared" ref="D21:D32" si="5">S20</f>
        <v>10.997330927408742</v>
      </c>
      <c r="E21" s="59">
        <f t="shared" si="3"/>
        <v>228.99199278222622</v>
      </c>
      <c r="F21" s="23">
        <v>1</v>
      </c>
      <c r="G21" s="23">
        <v>1</v>
      </c>
      <c r="H21" s="23">
        <v>0.5</v>
      </c>
      <c r="I21" s="65">
        <f t="shared" si="1"/>
        <v>7.5</v>
      </c>
      <c r="M21" s="154">
        <f>'[1]Relatório geral'!A21</f>
        <v>735</v>
      </c>
      <c r="N21" s="155" t="str">
        <f>'[1]Relatório geral'!B21</f>
        <v>DEM</v>
      </c>
      <c r="O21" s="156">
        <f>'[1]Relatório geral'!C21</f>
        <v>6.8230517649712423</v>
      </c>
      <c r="P21" s="156">
        <f>'[1]Relatório geral'!D21</f>
        <v>0.54133303259275956</v>
      </c>
      <c r="Q21" s="156">
        <f>'[1]Relatório geral'!E21</f>
        <v>0</v>
      </c>
      <c r="R21" s="156">
        <f>'[1]Relatório geral'!F21</f>
        <v>1.623999097778279</v>
      </c>
      <c r="S21" s="157">
        <f t="shared" si="2"/>
        <v>8.988383895342281</v>
      </c>
    </row>
    <row r="22" spans="1:19" ht="15">
      <c r="A22" s="168" t="s">
        <v>20</v>
      </c>
      <c r="B22" s="25">
        <v>14</v>
      </c>
      <c r="C22" s="25">
        <v>5</v>
      </c>
      <c r="D22" s="162">
        <f t="shared" si="5"/>
        <v>8.988383895342281</v>
      </c>
      <c r="E22" s="59">
        <f t="shared" si="3"/>
        <v>159.96515168602684</v>
      </c>
      <c r="F22" s="23">
        <v>1</v>
      </c>
      <c r="G22" s="23"/>
      <c r="H22" s="23">
        <v>1</v>
      </c>
      <c r="I22" s="65">
        <f t="shared" si="1"/>
        <v>7</v>
      </c>
      <c r="M22" s="154">
        <f>'[1]Relatório geral'!A22</f>
        <v>736</v>
      </c>
      <c r="N22" s="155" t="str">
        <f>'[1]Relatório geral'!B22</f>
        <v>DPS</v>
      </c>
      <c r="O22" s="156">
        <f>'[1]Relatório geral'!C22</f>
        <v>2.2931468741776624</v>
      </c>
      <c r="P22" s="156">
        <f>'[1]Relatório geral'!D22</f>
        <v>0.99620315025750894</v>
      </c>
      <c r="Q22" s="156">
        <f>'[1]Relatório geral'!E22</f>
        <v>0.10901845795270854</v>
      </c>
      <c r="R22" s="156">
        <f>'[1]Relatório geral'!F22</f>
        <v>1.2265704296830944</v>
      </c>
      <c r="S22" s="157">
        <f t="shared" si="2"/>
        <v>4.6249389120709745</v>
      </c>
    </row>
    <row r="23" spans="1:19" ht="15">
      <c r="A23" s="168" t="s">
        <v>25</v>
      </c>
      <c r="B23" s="25">
        <v>17</v>
      </c>
      <c r="C23" s="25">
        <v>1</v>
      </c>
      <c r="D23" s="162">
        <f t="shared" si="5"/>
        <v>4.6249389120709745</v>
      </c>
      <c r="E23" s="59">
        <f t="shared" si="3"/>
        <v>139.87481673621292</v>
      </c>
      <c r="F23" s="23">
        <v>1</v>
      </c>
      <c r="G23" s="23">
        <v>1</v>
      </c>
      <c r="H23" s="23">
        <v>0</v>
      </c>
      <c r="I23" s="65">
        <f t="shared" si="1"/>
        <v>5</v>
      </c>
      <c r="M23" s="154">
        <f>'[1]Relatório geral'!A23</f>
        <v>737</v>
      </c>
      <c r="N23" s="155" t="str">
        <f>'[1]Relatório geral'!B23</f>
        <v>DESP</v>
      </c>
      <c r="O23" s="156">
        <f>'[1]Relatório geral'!C23</f>
        <v>2.85703544979512</v>
      </c>
      <c r="P23" s="156">
        <f>'[1]Relatório geral'!D23</f>
        <v>0</v>
      </c>
      <c r="Q23" s="156">
        <f>'[1]Relatório geral'!E23</f>
        <v>0</v>
      </c>
      <c r="R23" s="156">
        <f>'[1]Relatório geral'!F23</f>
        <v>0.22555543024698319</v>
      </c>
      <c r="S23" s="157">
        <f t="shared" si="2"/>
        <v>3.0825908800421034</v>
      </c>
    </row>
    <row r="24" spans="1:19" s="15" customFormat="1" ht="15">
      <c r="A24" s="168" t="s">
        <v>9</v>
      </c>
      <c r="B24" s="25">
        <v>14</v>
      </c>
      <c r="C24" s="25">
        <v>1</v>
      </c>
      <c r="D24" s="162">
        <f t="shared" si="5"/>
        <v>3.0825908800421034</v>
      </c>
      <c r="E24" s="59">
        <f t="shared" si="3"/>
        <v>114.24777264012631</v>
      </c>
      <c r="F24" s="23">
        <v>0.5</v>
      </c>
      <c r="G24" s="23">
        <v>1</v>
      </c>
      <c r="H24" s="23">
        <v>1</v>
      </c>
      <c r="I24" s="65">
        <f t="shared" si="1"/>
        <v>9</v>
      </c>
      <c r="J24" s="18"/>
      <c r="M24" s="154">
        <f>'[1]Relatório geral'!A24</f>
        <v>738</v>
      </c>
      <c r="N24" s="155" t="str">
        <f>'[1]Relatório geral'!B24</f>
        <v>DELC</v>
      </c>
      <c r="O24" s="156">
        <f>'[1]Relatório geral'!C24</f>
        <v>0</v>
      </c>
      <c r="P24" s="156">
        <f>'[1]Relatório geral'!D24</f>
        <v>0.19172211570993569</v>
      </c>
      <c r="Q24" s="156">
        <f>'[1]Relatório geral'!E24</f>
        <v>0</v>
      </c>
      <c r="R24" s="156">
        <f>'[1]Relatório geral'!F24</f>
        <v>0</v>
      </c>
      <c r="S24" s="157">
        <f t="shared" si="2"/>
        <v>0.19172211570993569</v>
      </c>
    </row>
    <row r="25" spans="1:19" s="15" customFormat="1" ht="15">
      <c r="A25" s="168" t="s">
        <v>10</v>
      </c>
      <c r="B25" s="25">
        <f>16-3</f>
        <v>13</v>
      </c>
      <c r="C25" s="25">
        <v>1</v>
      </c>
      <c r="D25" s="162">
        <f t="shared" si="5"/>
        <v>0.19172211570993569</v>
      </c>
      <c r="E25" s="59">
        <f t="shared" si="3"/>
        <v>98.575166347129809</v>
      </c>
      <c r="F25" s="23">
        <v>0</v>
      </c>
      <c r="G25" s="23">
        <v>0</v>
      </c>
      <c r="H25" s="23">
        <v>0</v>
      </c>
      <c r="I25" s="65">
        <f t="shared" si="1"/>
        <v>0</v>
      </c>
      <c r="J25" s="18"/>
      <c r="M25" s="154">
        <f>'[1]Relatório geral'!A25</f>
        <v>739</v>
      </c>
      <c r="N25" s="155" t="str">
        <f>'[1]Relatório geral'!B25</f>
        <v>CCCC</v>
      </c>
      <c r="O25" s="156">
        <f>'[1]Relatório geral'!C25</f>
        <v>0</v>
      </c>
      <c r="P25" s="156">
        <f>'[1]Relatório geral'!D25</f>
        <v>2.5074245329122964</v>
      </c>
      <c r="Q25" s="156">
        <f>'[1]Relatório geral'!E25</f>
        <v>0.98492537874515984</v>
      </c>
      <c r="R25" s="156">
        <f>'[1]Relatório geral'!F25</f>
        <v>0.72177737679034615</v>
      </c>
      <c r="S25" s="157">
        <f t="shared" si="2"/>
        <v>4.214127288447802</v>
      </c>
    </row>
    <row r="26" spans="1:19" ht="15">
      <c r="A26" s="168" t="s">
        <v>21</v>
      </c>
      <c r="B26" s="25">
        <v>1</v>
      </c>
      <c r="C26" s="25">
        <v>2</v>
      </c>
      <c r="D26" s="162">
        <f t="shared" si="5"/>
        <v>4.214127288447802</v>
      </c>
      <c r="E26" s="59">
        <f t="shared" si="3"/>
        <v>33.64238186534341</v>
      </c>
      <c r="F26" s="23">
        <v>48</v>
      </c>
      <c r="G26" s="23">
        <v>1.5</v>
      </c>
      <c r="H26" s="23">
        <v>1.5</v>
      </c>
      <c r="I26" s="65">
        <f t="shared" si="1"/>
        <v>108</v>
      </c>
      <c r="M26" s="154">
        <f>'[1]Relatório geral'!A26</f>
        <v>740</v>
      </c>
      <c r="N26" s="155" t="str">
        <f>'[1]Relatório geral'!B26</f>
        <v>CCAU</v>
      </c>
      <c r="O26" s="156">
        <f>'[1]Relatório geral'!C26</f>
        <v>0</v>
      </c>
      <c r="P26" s="156">
        <f>'[1]Relatório geral'!D26</f>
        <v>0</v>
      </c>
      <c r="Q26" s="156">
        <f>'[1]Relatório geral'!E26</f>
        <v>0.35712943122439</v>
      </c>
      <c r="R26" s="156">
        <f>'[1]Relatório geral'!F26</f>
        <v>1.2518326378707567</v>
      </c>
      <c r="S26" s="157">
        <f t="shared" si="2"/>
        <v>1.6089620690951467</v>
      </c>
    </row>
    <row r="27" spans="1:19" ht="15">
      <c r="A27" s="168" t="s">
        <v>11</v>
      </c>
      <c r="B27" s="25">
        <v>1</v>
      </c>
      <c r="C27" s="25">
        <v>1</v>
      </c>
      <c r="D27" s="162">
        <f t="shared" si="5"/>
        <v>1.6089620690951467</v>
      </c>
      <c r="E27" s="59">
        <f t="shared" si="3"/>
        <v>18.82688620728544</v>
      </c>
      <c r="F27" s="23">
        <v>0</v>
      </c>
      <c r="G27" s="23">
        <v>0</v>
      </c>
      <c r="H27" s="23">
        <v>0</v>
      </c>
      <c r="I27" s="65">
        <f t="shared" si="1"/>
        <v>0</v>
      </c>
      <c r="M27" s="154">
        <f>'[1]Relatório geral'!A27</f>
        <v>744</v>
      </c>
      <c r="N27" s="155" t="str">
        <f>'[1]Relatório geral'!B27</f>
        <v>PPGEC</v>
      </c>
      <c r="O27" s="156">
        <f>'[1]Relatório geral'!C27</f>
        <v>0</v>
      </c>
      <c r="P27" s="156">
        <f>'[1]Relatório geral'!D27</f>
        <v>0</v>
      </c>
      <c r="Q27" s="156">
        <f>'[1]Relatório geral'!E27</f>
        <v>0</v>
      </c>
      <c r="R27" s="156">
        <f>'[1]Relatório geral'!F27</f>
        <v>0.22555543024698319</v>
      </c>
      <c r="S27" s="157">
        <f t="shared" si="2"/>
        <v>0.22555543024698319</v>
      </c>
    </row>
    <row r="28" spans="1:19" ht="15">
      <c r="A28" s="168" t="s">
        <v>24</v>
      </c>
      <c r="B28" s="25">
        <v>1</v>
      </c>
      <c r="C28" s="25">
        <v>1</v>
      </c>
      <c r="D28" s="162">
        <f t="shared" si="5"/>
        <v>0.22555543024698319</v>
      </c>
      <c r="E28" s="59">
        <f t="shared" si="3"/>
        <v>14.67666629074095</v>
      </c>
      <c r="F28" s="23">
        <v>0</v>
      </c>
      <c r="G28" s="23">
        <v>1</v>
      </c>
      <c r="H28" s="23">
        <v>0</v>
      </c>
      <c r="I28" s="65">
        <f t="shared" si="1"/>
        <v>3</v>
      </c>
      <c r="M28" s="159">
        <f>'[1]Relatório geral'!A28</f>
        <v>746</v>
      </c>
      <c r="N28" s="155" t="str">
        <f>'[1]Relatório geral'!B28</f>
        <v>DAU</v>
      </c>
      <c r="O28" s="156">
        <f>'[1]Relatório geral'!C28</f>
        <v>1.717980527047855</v>
      </c>
      <c r="P28" s="156">
        <f>'[1]Relatório geral'!D28</f>
        <v>0.75185143415661049</v>
      </c>
      <c r="Q28" s="156">
        <f>'[1]Relatório geral'!E28</f>
        <v>0.18796285853915265</v>
      </c>
      <c r="R28" s="156">
        <f>'[1]Relatório geral'!F28</f>
        <v>0</v>
      </c>
      <c r="S28" s="157">
        <f t="shared" si="2"/>
        <v>2.6577948197436183</v>
      </c>
    </row>
    <row r="29" spans="1:19" ht="15">
      <c r="A29" s="168" t="s">
        <v>12</v>
      </c>
      <c r="B29" s="25">
        <v>12</v>
      </c>
      <c r="C29" s="25">
        <v>1</v>
      </c>
      <c r="D29" s="162">
        <f t="shared" si="5"/>
        <v>2.6577948197436183</v>
      </c>
      <c r="E29" s="59">
        <f t="shared" si="3"/>
        <v>98.973384459230857</v>
      </c>
      <c r="F29" s="23">
        <v>0</v>
      </c>
      <c r="G29" s="23">
        <v>0</v>
      </c>
      <c r="H29" s="23">
        <v>0</v>
      </c>
      <c r="I29" s="65">
        <f t="shared" si="1"/>
        <v>0</v>
      </c>
      <c r="M29" s="154">
        <f>'[1]Relatório geral'!A29</f>
        <v>753</v>
      </c>
      <c r="N29" s="155" t="str">
        <f>'[1]Relatório geral'!B29</f>
        <v>PPGI</v>
      </c>
      <c r="O29" s="156">
        <f>'[1]Relatório geral'!C29</f>
        <v>0</v>
      </c>
      <c r="P29" s="156">
        <f>'[1]Relatório geral'!D29</f>
        <v>0</v>
      </c>
      <c r="Q29" s="156">
        <f>'[1]Relatório geral'!E29</f>
        <v>0</v>
      </c>
      <c r="R29" s="156">
        <f>'[1]Relatório geral'!F29</f>
        <v>0.90222172098793274</v>
      </c>
      <c r="S29" s="157">
        <f t="shared" si="2"/>
        <v>0.90222172098793274</v>
      </c>
    </row>
    <row r="30" spans="1:19" ht="15">
      <c r="A30" s="170" t="s">
        <v>37</v>
      </c>
      <c r="B30" s="171">
        <v>1</v>
      </c>
      <c r="C30" s="171">
        <v>1</v>
      </c>
      <c r="D30" s="162">
        <f t="shared" si="5"/>
        <v>0.90222172098793274</v>
      </c>
      <c r="E30" s="61">
        <f t="shared" si="3"/>
        <v>16.706665162963798</v>
      </c>
      <c r="F30" s="24">
        <v>0</v>
      </c>
      <c r="G30" s="24">
        <v>0</v>
      </c>
      <c r="H30" s="24">
        <v>0</v>
      </c>
      <c r="I30" s="65">
        <f t="shared" si="1"/>
        <v>0</v>
      </c>
      <c r="M30" s="154">
        <f>'[1]Relatório geral'!A30</f>
        <v>754</v>
      </c>
      <c r="N30" s="155" t="str">
        <f>'[1]Relatório geral'!B30</f>
        <v>DPEE</v>
      </c>
      <c r="O30" s="156">
        <f>'[1]Relatório geral'!C30</f>
        <v>2.4472764181797677</v>
      </c>
      <c r="P30" s="156">
        <f>'[1]Relatório geral'!D30</f>
        <v>0</v>
      </c>
      <c r="Q30" s="156">
        <f>'[1]Relatório geral'!E30</f>
        <v>0.55261080410510877</v>
      </c>
      <c r="R30" s="156">
        <f>'[1]Relatório geral'!F30</f>
        <v>1.822487876395624</v>
      </c>
      <c r="S30" s="157">
        <f t="shared" si="2"/>
        <v>4.8223750986805003</v>
      </c>
    </row>
    <row r="31" spans="1:19" ht="15">
      <c r="A31" s="170" t="s">
        <v>35</v>
      </c>
      <c r="B31" s="171">
        <v>14</v>
      </c>
      <c r="C31" s="171">
        <v>2</v>
      </c>
      <c r="D31" s="162">
        <f t="shared" si="5"/>
        <v>4.8223750986805003</v>
      </c>
      <c r="E31" s="61">
        <f t="shared" si="3"/>
        <v>126.4671252960415</v>
      </c>
      <c r="F31" s="24">
        <v>1</v>
      </c>
      <c r="G31" s="24">
        <v>1</v>
      </c>
      <c r="H31" s="24">
        <v>0</v>
      </c>
      <c r="I31" s="65">
        <f t="shared" si="1"/>
        <v>5</v>
      </c>
      <c r="M31" s="159">
        <f>'[1]Relatório geral'!A31</f>
        <v>755</v>
      </c>
      <c r="N31" s="155" t="str">
        <f>'[1]Relatório geral'!B31</f>
        <v>PPGEPro</v>
      </c>
      <c r="O31" s="156">
        <f>'[1]Relatório geral'!C31</f>
        <v>0</v>
      </c>
      <c r="P31" s="156">
        <f>'[1]Relatório geral'!D31</f>
        <v>0</v>
      </c>
      <c r="Q31" s="156">
        <f>'[1]Relatório geral'!E31</f>
        <v>0</v>
      </c>
      <c r="R31" s="156">
        <f>'[1]Relatório geral'!F31</f>
        <v>0.14435547535806922</v>
      </c>
      <c r="S31" s="157">
        <f t="shared" si="2"/>
        <v>0.14435547535806922</v>
      </c>
    </row>
    <row r="32" spans="1:19" ht="15">
      <c r="A32" s="168" t="s">
        <v>36</v>
      </c>
      <c r="B32" s="25">
        <v>1</v>
      </c>
      <c r="C32" s="25">
        <v>1</v>
      </c>
      <c r="D32" s="162">
        <f t="shared" si="5"/>
        <v>0.14435547535806922</v>
      </c>
      <c r="E32" s="59">
        <f t="shared" si="3"/>
        <v>14.433066426074207</v>
      </c>
      <c r="F32" s="23">
        <v>0</v>
      </c>
      <c r="G32" s="23">
        <v>1</v>
      </c>
      <c r="H32" s="23">
        <v>0</v>
      </c>
      <c r="I32" s="65">
        <f t="shared" si="1"/>
        <v>3</v>
      </c>
      <c r="J32" s="88"/>
      <c r="M32" s="160">
        <f>'[1]Relatório geral'!A32</f>
        <v>756</v>
      </c>
      <c r="N32" s="161" t="str">
        <f>'[1]Relatório geral'!B32</f>
        <v>CECA</v>
      </c>
      <c r="O32" s="156">
        <f>'[1]Relatório geral'!C32</f>
        <v>0</v>
      </c>
      <c r="P32" s="156">
        <f>'[1]Relatório geral'!D32</f>
        <v>0</v>
      </c>
      <c r="Q32" s="156">
        <f>'[1]Relatório geral'!E32</f>
        <v>0</v>
      </c>
      <c r="R32" s="156">
        <f>'[1]Relatório geral'!F32</f>
        <v>1.5247547084696065</v>
      </c>
      <c r="S32" s="157">
        <f t="shared" si="2"/>
        <v>1.5247547084696065</v>
      </c>
    </row>
    <row r="33" spans="1:19" ht="15">
      <c r="A33" s="168" t="s">
        <v>51</v>
      </c>
      <c r="B33" s="25">
        <v>12</v>
      </c>
      <c r="C33" s="25">
        <v>1</v>
      </c>
      <c r="D33" s="162">
        <f>S41</f>
        <v>0</v>
      </c>
      <c r="E33" s="59">
        <f t="shared" si="3"/>
        <v>91</v>
      </c>
      <c r="F33" s="23">
        <v>0</v>
      </c>
      <c r="G33" s="23">
        <v>0</v>
      </c>
      <c r="H33" s="23">
        <v>0</v>
      </c>
      <c r="I33" s="65">
        <f t="shared" si="1"/>
        <v>0</v>
      </c>
      <c r="M33" s="160">
        <f>'[1]Relatório geral'!A33</f>
        <v>757</v>
      </c>
      <c r="N33" s="161" t="str">
        <f>'[1]Relatório geral'!B33</f>
        <v>CCEP</v>
      </c>
      <c r="O33" s="156">
        <f>'[1]Relatório geral'!C33</f>
        <v>0</v>
      </c>
      <c r="P33" s="156">
        <f>'[1]Relatório geral'!D33</f>
        <v>0</v>
      </c>
      <c r="Q33" s="156">
        <f>'[1]Relatório geral'!E33</f>
        <v>1.4924250968008721</v>
      </c>
      <c r="R33" s="156">
        <f>'[1]Relatório geral'!F33</f>
        <v>1.7457990301116499</v>
      </c>
      <c r="S33" s="157">
        <f t="shared" si="2"/>
        <v>3.238224126912522</v>
      </c>
    </row>
    <row r="34" spans="1:19" ht="15">
      <c r="A34" s="168" t="s">
        <v>52</v>
      </c>
      <c r="B34" s="25">
        <v>12</v>
      </c>
      <c r="C34" s="25">
        <v>1</v>
      </c>
      <c r="D34" s="162">
        <f>S40</f>
        <v>2.5262208187662116</v>
      </c>
      <c r="E34" s="59">
        <f t="shared" si="3"/>
        <v>98.57866245629863</v>
      </c>
      <c r="F34" s="23">
        <v>0</v>
      </c>
      <c r="G34" s="23">
        <v>1</v>
      </c>
      <c r="H34" s="23">
        <v>2.5</v>
      </c>
      <c r="I34" s="65">
        <f t="shared" si="1"/>
        <v>15.5</v>
      </c>
      <c r="M34" s="160">
        <f>'[1]Relatório geral'!A34</f>
        <v>758</v>
      </c>
      <c r="N34" s="161" t="str">
        <f>'[1]Relatório geral'!B34</f>
        <v>CEComp</v>
      </c>
      <c r="O34" s="156">
        <f>'[1]Relatório geral'!C34</f>
        <v>0</v>
      </c>
      <c r="P34" s="156">
        <f>'[1]Relatório geral'!D34</f>
        <v>0</v>
      </c>
      <c r="Q34" s="156">
        <f>'[1]Relatório geral'!E34</f>
        <v>0</v>
      </c>
      <c r="R34" s="156">
        <f>'[1]Relatório geral'!F34</f>
        <v>0.18946656140746587</v>
      </c>
      <c r="S34" s="157">
        <f t="shared" si="2"/>
        <v>0.18946656140746587</v>
      </c>
    </row>
    <row r="35" spans="1:19" ht="15">
      <c r="A35" s="168" t="s">
        <v>53</v>
      </c>
      <c r="B35" s="25">
        <v>1</v>
      </c>
      <c r="C35" s="25">
        <v>1</v>
      </c>
      <c r="D35" s="162">
        <f>S33</f>
        <v>3.238224126912522</v>
      </c>
      <c r="E35" s="59">
        <f t="shared" si="3"/>
        <v>23.714672380737568</v>
      </c>
      <c r="F35" s="23">
        <v>1.5</v>
      </c>
      <c r="G35" s="23">
        <v>0</v>
      </c>
      <c r="H35" s="23">
        <v>0</v>
      </c>
      <c r="I35" s="65">
        <f t="shared" si="1"/>
        <v>3</v>
      </c>
      <c r="M35" s="160">
        <f>'[1]Relatório geral'!A35</f>
        <v>759</v>
      </c>
      <c r="N35" s="161" t="str">
        <f>'[1]Relatório geral'!B35</f>
        <v>CCEAc</v>
      </c>
      <c r="O35" s="156">
        <f>'[1]Relatório geral'!C35</f>
        <v>0</v>
      </c>
      <c r="P35" s="156">
        <f>'[1]Relatório geral'!D35</f>
        <v>0</v>
      </c>
      <c r="Q35" s="156">
        <f>'[1]Relatório geral'!E35</f>
        <v>0</v>
      </c>
      <c r="R35" s="156">
        <f>'[1]Relatório geral'!F35</f>
        <v>0.77591068004962216</v>
      </c>
      <c r="S35" s="157">
        <f t="shared" si="2"/>
        <v>0.77591068004962216</v>
      </c>
    </row>
    <row r="36" spans="1:19" ht="15">
      <c r="A36" s="168" t="s">
        <v>58</v>
      </c>
      <c r="B36" s="25">
        <v>1</v>
      </c>
      <c r="C36" s="25">
        <v>1</v>
      </c>
      <c r="D36" s="162">
        <f>S34</f>
        <v>0.18946656140746587</v>
      </c>
      <c r="E36" s="59">
        <f t="shared" si="3"/>
        <v>14.568399684222397</v>
      </c>
      <c r="F36" s="23">
        <v>0</v>
      </c>
      <c r="G36" s="23">
        <v>0</v>
      </c>
      <c r="H36" s="23">
        <v>0</v>
      </c>
      <c r="I36" s="65">
        <f t="shared" si="1"/>
        <v>0</v>
      </c>
      <c r="M36" s="160">
        <f>'[1]Relatório geral'!A36</f>
        <v>760</v>
      </c>
      <c r="N36" s="161" t="str">
        <f>'[1]Relatório geral'!B36</f>
        <v>CESA</v>
      </c>
      <c r="O36" s="156">
        <f>'[1]Relatório geral'!C36</f>
        <v>0</v>
      </c>
      <c r="P36" s="156">
        <f>'[1]Relatório geral'!D36</f>
        <v>0</v>
      </c>
      <c r="Q36" s="156">
        <f>'[1]Relatório geral'!E36</f>
        <v>0.5488515469343257</v>
      </c>
      <c r="R36" s="156">
        <f>'[1]Relatório geral'!F36</f>
        <v>1.0059772189015452</v>
      </c>
      <c r="S36" s="157">
        <f t="shared" si="2"/>
        <v>1.5548287658358708</v>
      </c>
    </row>
    <row r="37" spans="1:19" ht="15">
      <c r="A37" s="168" t="s">
        <v>54</v>
      </c>
      <c r="B37" s="25">
        <v>1</v>
      </c>
      <c r="C37" s="25">
        <v>1</v>
      </c>
      <c r="D37" s="162">
        <f>S32</f>
        <v>1.5247547084696065</v>
      </c>
      <c r="E37" s="59">
        <f t="shared" si="3"/>
        <v>18.574264125408821</v>
      </c>
      <c r="F37" s="23">
        <v>0</v>
      </c>
      <c r="G37" s="23">
        <v>0</v>
      </c>
      <c r="H37" s="23">
        <v>0</v>
      </c>
      <c r="I37" s="65">
        <f t="shared" si="1"/>
        <v>0</v>
      </c>
      <c r="M37" s="160">
        <f>'[1]Relatório geral'!A37</f>
        <v>762</v>
      </c>
      <c r="N37" s="161" t="str">
        <f>'[1]Relatório geral'!B37</f>
        <v>CCSI</v>
      </c>
      <c r="O37" s="156">
        <f>'[1]Relatório geral'!C37</f>
        <v>0</v>
      </c>
      <c r="P37" s="156">
        <f>'[1]Relatório geral'!D37</f>
        <v>0</v>
      </c>
      <c r="Q37" s="156">
        <f>'[1]Relatório geral'!E37</f>
        <v>0</v>
      </c>
      <c r="R37" s="156">
        <f>'[1]Relatório geral'!F37</f>
        <v>0</v>
      </c>
      <c r="S37" s="157">
        <f t="shared" si="2"/>
        <v>0</v>
      </c>
    </row>
    <row r="38" spans="1:19" ht="15">
      <c r="A38" s="168" t="s">
        <v>55</v>
      </c>
      <c r="B38" s="25">
        <v>1</v>
      </c>
      <c r="C38" s="25">
        <v>1</v>
      </c>
      <c r="D38" s="162">
        <f>S36</f>
        <v>1.5548287658358708</v>
      </c>
      <c r="E38" s="59">
        <f t="shared" si="3"/>
        <v>18.664486297507612</v>
      </c>
      <c r="F38" s="23">
        <v>1</v>
      </c>
      <c r="G38" s="23">
        <v>0</v>
      </c>
      <c r="H38" s="23">
        <v>0</v>
      </c>
      <c r="I38" s="65">
        <f t="shared" si="1"/>
        <v>2</v>
      </c>
      <c r="M38" s="160">
        <f>'[1]Relatório geral'!A38</f>
        <v>763</v>
      </c>
      <c r="N38" s="161" t="str">
        <f>'[1]Relatório geral'!B38</f>
        <v>DESA</v>
      </c>
      <c r="O38" s="156">
        <f>'[1]Relatório geral'!C38</f>
        <v>4.2066087741062352</v>
      </c>
      <c r="P38" s="156">
        <f>'[1]Relatório geral'!D38</f>
        <v>1.8645915567083942</v>
      </c>
      <c r="Q38" s="156">
        <f>'[1]Relatório geral'!E38</f>
        <v>0.10901845795270854</v>
      </c>
      <c r="R38" s="156">
        <f>'[1]Relatório geral'!F38</f>
        <v>1.3375437013646101</v>
      </c>
      <c r="S38" s="157">
        <f t="shared" si="2"/>
        <v>7.5177624901319478</v>
      </c>
    </row>
    <row r="39" spans="1:19" ht="15">
      <c r="A39" s="168" t="s">
        <v>56</v>
      </c>
      <c r="B39" s="25">
        <v>1</v>
      </c>
      <c r="C39" s="25">
        <v>1</v>
      </c>
      <c r="D39" s="162">
        <f>S35</f>
        <v>0.77591068004962216</v>
      </c>
      <c r="E39" s="59">
        <f t="shared" si="3"/>
        <v>16.327732040148867</v>
      </c>
      <c r="F39" s="23">
        <v>0</v>
      </c>
      <c r="G39" s="23">
        <v>0</v>
      </c>
      <c r="H39" s="23">
        <v>3</v>
      </c>
      <c r="I39" s="65">
        <f t="shared" si="1"/>
        <v>15</v>
      </c>
      <c r="M39" s="160">
        <f>'[1]Relatório geral'!A39</f>
        <v>765</v>
      </c>
      <c r="N39" s="161" t="str">
        <f>'[1]Relatório geral'!B39</f>
        <v>PGEAmb</v>
      </c>
      <c r="O39" s="156">
        <f>'[1]Relatório geral'!C39</f>
        <v>0</v>
      </c>
      <c r="P39" s="156">
        <f>'[1]Relatório geral'!D39</f>
        <v>0</v>
      </c>
      <c r="Q39" s="156">
        <f>'[1]Relatório geral'!E39</f>
        <v>0</v>
      </c>
      <c r="R39" s="156">
        <f>'[1]Relatório geral'!F39</f>
        <v>0.75335513702492374</v>
      </c>
      <c r="S39" s="157">
        <f t="shared" si="2"/>
        <v>0.75335513702492374</v>
      </c>
    </row>
    <row r="40" spans="1:19" ht="15">
      <c r="A40" s="168" t="s">
        <v>57</v>
      </c>
      <c r="B40" s="25">
        <v>1</v>
      </c>
      <c r="C40" s="25">
        <v>1</v>
      </c>
      <c r="D40" s="162">
        <f>S37</f>
        <v>0</v>
      </c>
      <c r="E40" s="59">
        <f t="shared" si="3"/>
        <v>14</v>
      </c>
      <c r="F40" s="23">
        <f>6.5+13</f>
        <v>19.5</v>
      </c>
      <c r="G40" s="23">
        <v>0.5</v>
      </c>
      <c r="H40" s="23">
        <v>1</v>
      </c>
      <c r="I40" s="65">
        <f t="shared" si="1"/>
        <v>45.5</v>
      </c>
      <c r="M40" s="160">
        <f>'[1]Relatório geral'!A40</f>
        <v>766</v>
      </c>
      <c r="N40" s="161" t="str">
        <f>'[1]Relatório geral'!B40</f>
        <v>DLSC</v>
      </c>
      <c r="O40" s="156">
        <f>'[1]Relatório geral'!C40</f>
        <v>2.5262208187662116</v>
      </c>
      <c r="P40" s="156">
        <f>'[1]Relatório geral'!D40</f>
        <v>0</v>
      </c>
      <c r="Q40" s="156">
        <f>'[1]Relatório geral'!E40</f>
        <v>0</v>
      </c>
      <c r="R40" s="156">
        <f>'[1]Relatório geral'!F40</f>
        <v>0</v>
      </c>
      <c r="S40" s="157">
        <f t="shared" si="2"/>
        <v>2.5262208187662116</v>
      </c>
    </row>
    <row r="41" spans="1:19" ht="15.75" thickBot="1">
      <c r="A41" s="172" t="s">
        <v>60</v>
      </c>
      <c r="B41" s="173">
        <v>1</v>
      </c>
      <c r="C41" s="173">
        <v>1</v>
      </c>
      <c r="D41" s="163">
        <f>S39</f>
        <v>0.75335513702492374</v>
      </c>
      <c r="E41" s="59">
        <f t="shared" si="3"/>
        <v>16.26006541107477</v>
      </c>
      <c r="F41" s="26">
        <v>0</v>
      </c>
      <c r="G41" s="26">
        <v>0</v>
      </c>
      <c r="H41" s="26">
        <v>0</v>
      </c>
      <c r="I41" s="65">
        <f t="shared" si="1"/>
        <v>0</v>
      </c>
      <c r="M41" s="160">
        <f>'[1]Relatório geral'!A41</f>
        <v>767</v>
      </c>
      <c r="N41" s="161" t="str">
        <f>'[1]Relatório geral'!B41</f>
        <v>DCOM</v>
      </c>
      <c r="O41" s="156">
        <f>'[1]Relatório geral'!C41</f>
        <v>0</v>
      </c>
      <c r="P41" s="156">
        <f>'[1]Relatório geral'!D41</f>
        <v>0</v>
      </c>
      <c r="Q41" s="156">
        <f>'[1]Relatório geral'!E41</f>
        <v>0</v>
      </c>
      <c r="R41" s="156">
        <f>'[1]Relatório geral'!F41</f>
        <v>0</v>
      </c>
      <c r="S41" s="157">
        <f t="shared" si="2"/>
        <v>0</v>
      </c>
    </row>
    <row r="42" spans="1:19" ht="15.75" thickBot="1">
      <c r="A42" s="87"/>
      <c r="B42" s="62">
        <f t="shared" ref="B42:H42" si="6">SUM(B5:B41)</f>
        <v>202</v>
      </c>
      <c r="C42" s="62">
        <f t="shared" si="6"/>
        <v>76</v>
      </c>
      <c r="D42" s="62">
        <f t="shared" si="6"/>
        <v>103.14980639825568</v>
      </c>
      <c r="E42" s="62">
        <f t="shared" si="6"/>
        <v>2255.4494191947674</v>
      </c>
      <c r="F42" s="62">
        <f t="shared" si="6"/>
        <v>105.666</v>
      </c>
      <c r="G42" s="62">
        <f t="shared" si="6"/>
        <v>18.5</v>
      </c>
      <c r="H42" s="62">
        <f t="shared" si="6"/>
        <v>12.5</v>
      </c>
      <c r="I42" s="67">
        <f t="shared" si="1"/>
        <v>329.33199999999999</v>
      </c>
      <c r="M42" s="160">
        <f>'[1]Relatório geral'!A42</f>
        <v>770</v>
      </c>
      <c r="N42" s="161" t="str">
        <f>'[1]Relatório geral'!B42</f>
        <v>CAero</v>
      </c>
      <c r="O42" s="156">
        <f>'[1]Relatório geral'!C42</f>
        <v>0</v>
      </c>
      <c r="P42" s="156">
        <f>'[1]Relatório geral'!D42</f>
        <v>0</v>
      </c>
      <c r="Q42" s="156">
        <f>'[1]Relatório geral'!E42</f>
        <v>0</v>
      </c>
      <c r="R42" s="156">
        <f>'[1]Relatório geral'!F42</f>
        <v>0</v>
      </c>
      <c r="S42" s="157">
        <f t="shared" si="2"/>
        <v>0</v>
      </c>
    </row>
    <row r="43" spans="1:19" ht="15">
      <c r="M43" s="160">
        <f>'[1]Relatório geral'!A43</f>
        <v>771</v>
      </c>
      <c r="N43" s="161" t="str">
        <f>'[1]Relatório geral'!B43</f>
        <v>CTelecom</v>
      </c>
      <c r="O43" s="156">
        <f>'[1]Relatório geral'!C43</f>
        <v>0</v>
      </c>
      <c r="P43" s="156">
        <f>'[1]Relatório geral'!D43</f>
        <v>0</v>
      </c>
      <c r="Q43" s="156">
        <f>'[1]Relatório geral'!E43</f>
        <v>0</v>
      </c>
      <c r="R43" s="156">
        <f>'[1]Relatório geral'!F43</f>
        <v>0</v>
      </c>
      <c r="S43" s="157">
        <f t="shared" si="2"/>
        <v>0</v>
      </c>
    </row>
    <row r="44" spans="1:19" ht="15">
      <c r="M44" s="221" t="s">
        <v>90</v>
      </c>
      <c r="N44" s="221"/>
      <c r="O44" s="157">
        <f>SUM(O5:O43)</f>
        <v>45.889252283748732</v>
      </c>
      <c r="P44" s="157">
        <f t="shared" ref="P44:S44" si="7">SUM(P5:P43)</f>
        <v>30.412390511634893</v>
      </c>
      <c r="Q44" s="157">
        <f t="shared" si="7"/>
        <v>18.232397278297807</v>
      </c>
      <c r="R44" s="157">
        <f t="shared" si="7"/>
        <v>59.781662343520914</v>
      </c>
      <c r="S44" s="157">
        <f t="shared" si="7"/>
        <v>154.31570241720237</v>
      </c>
    </row>
  </sheetData>
  <mergeCells count="16">
    <mergeCell ref="M44:N44"/>
    <mergeCell ref="M1:S1"/>
    <mergeCell ref="M2:N3"/>
    <mergeCell ref="O2:R2"/>
    <mergeCell ref="S2:S4"/>
    <mergeCell ref="O3:P3"/>
    <mergeCell ref="Q3:R3"/>
    <mergeCell ref="A2:A3"/>
    <mergeCell ref="H2:H3"/>
    <mergeCell ref="I2:I3"/>
    <mergeCell ref="B2:B3"/>
    <mergeCell ref="C2:C3"/>
    <mergeCell ref="D2:D3"/>
    <mergeCell ref="E2:E3"/>
    <mergeCell ref="F2:F3"/>
    <mergeCell ref="G2:G3"/>
  </mergeCells>
  <phoneticPr fontId="0" type="noConversion"/>
  <printOptions gridLinesSet="0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IDR-CT</vt:lpstr>
      <vt:lpstr>Prod. Científica</vt:lpstr>
      <vt:lpstr>Doc. Téc, Bolsistas e Eventos</vt:lpstr>
      <vt:lpstr>'IDR-CT'!Print_Area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CT</dc:title>
  <dc:creator>Deividi da Silva Pereira</dc:creator>
  <cp:lastModifiedBy>DSP Home</cp:lastModifiedBy>
  <cp:lastPrinted>2015-05-05T17:52:07Z</cp:lastPrinted>
  <dcterms:created xsi:type="dcterms:W3CDTF">1998-05-21T12:47:29Z</dcterms:created>
  <dcterms:modified xsi:type="dcterms:W3CDTF">2015-06-01T02:28:42Z</dcterms:modified>
</cp:coreProperties>
</file>