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2 - MESTRADO EM AGRONEGÓCIOS UFSM PM\"/>
    </mc:Choice>
  </mc:AlternateContent>
  <xr:revisionPtr revIDLastSave="0" documentId="13_ncr:1_{AF6AE95E-4E23-4518-B8B2-008E586D3397}" xr6:coauthVersionLast="47" xr6:coauthVersionMax="47" xr10:uidLastSave="{00000000-0000-0000-0000-000000000000}"/>
  <bookViews>
    <workbookView xWindow="-108" yWindow="-108" windowWidth="23256" windowHeight="12576" xr2:uid="{864C9912-153D-4FB0-860D-C314688C0947}"/>
  </bookViews>
  <sheets>
    <sheet name="Introdução" sheetId="13" r:id="rId1"/>
    <sheet name="REBANHO" sheetId="2" r:id="rId2"/>
    <sheet name="INVENTÁRIO" sheetId="3" r:id="rId3"/>
    <sheet name="INFRAESTRUTURA" sheetId="4" r:id="rId4"/>
    <sheet name="REPOSIÇÃO" sheetId="5" r:id="rId5"/>
    <sheet name="CREEP FEEDING" sheetId="6" r:id="rId6"/>
    <sheet name="SANIDADE" sheetId="7" r:id="rId7"/>
    <sheet name="CUSTO FIXO" sheetId="8" r:id="rId8"/>
    <sheet name="CUSTO VARIÁVEL" sheetId="9" r:id="rId9"/>
    <sheet name="CUSTO TOTAL" sheetId="10" r:id="rId10"/>
    <sheet name="RECEITA" sheetId="11" r:id="rId11"/>
    <sheet name="VIABILIDADE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5" i="2"/>
  <c r="B10" i="3"/>
  <c r="B5" i="3"/>
  <c r="G6" i="4" s="1"/>
  <c r="H6" i="4" s="1"/>
  <c r="I6" i="4" s="1"/>
  <c r="G16" i="6"/>
  <c r="D10" i="6"/>
  <c r="D9" i="6"/>
  <c r="D8" i="6"/>
  <c r="D7" i="6"/>
  <c r="D6" i="6"/>
  <c r="B7" i="10"/>
  <c r="H19" i="9"/>
  <c r="H18" i="9"/>
  <c r="H17" i="9"/>
  <c r="G5" i="9"/>
  <c r="B8" i="9"/>
  <c r="E5" i="9"/>
  <c r="F5" i="9"/>
  <c r="B9" i="9"/>
  <c r="C17" i="8"/>
  <c r="C14" i="8"/>
  <c r="C12" i="8"/>
  <c r="C11" i="8"/>
  <c r="C10" i="8"/>
  <c r="C9" i="8"/>
  <c r="C8" i="8"/>
  <c r="B8" i="3"/>
  <c r="G20" i="2"/>
  <c r="G18" i="2"/>
  <c r="B10" i="2"/>
  <c r="D10" i="2" s="1"/>
  <c r="B15" i="11"/>
  <c r="B10" i="11"/>
  <c r="B5" i="11"/>
  <c r="B20" i="10"/>
  <c r="B19" i="10"/>
  <c r="B13" i="10"/>
  <c r="C13" i="8" l="1"/>
  <c r="B12" i="10" s="1"/>
  <c r="B12" i="2"/>
  <c r="D12" i="2" s="1"/>
  <c r="B21" i="10"/>
  <c r="B22" i="10"/>
  <c r="B14" i="10"/>
  <c r="G15" i="6"/>
  <c r="I12" i="6"/>
  <c r="I11" i="6"/>
  <c r="D11" i="6"/>
  <c r="D12" i="6" s="1"/>
  <c r="H22" i="4"/>
  <c r="H18" i="4"/>
  <c r="H17" i="4"/>
  <c r="H16" i="4"/>
  <c r="H15" i="4"/>
  <c r="H14" i="4"/>
  <c r="H12" i="4"/>
  <c r="H11" i="4"/>
  <c r="G23" i="4"/>
  <c r="H23" i="4" s="1"/>
  <c r="G22" i="4"/>
  <c r="G18" i="4"/>
  <c r="G17" i="4"/>
  <c r="G16" i="4"/>
  <c r="G15" i="4"/>
  <c r="G14" i="4"/>
  <c r="G12" i="4"/>
  <c r="G11" i="4"/>
  <c r="D9" i="4"/>
  <c r="D8" i="4"/>
  <c r="D7" i="4"/>
  <c r="D6" i="4"/>
  <c r="D5" i="4"/>
  <c r="C10" i="4"/>
  <c r="B5" i="10" s="1"/>
  <c r="H19" i="4"/>
  <c r="G21" i="4"/>
  <c r="G19" i="4"/>
  <c r="G13" i="4"/>
  <c r="H21" i="4" l="1"/>
  <c r="B13" i="9"/>
  <c r="B14" i="9" s="1"/>
  <c r="B15" i="10"/>
  <c r="D10" i="4"/>
  <c r="H13" i="4" l="1"/>
  <c r="H20" i="4"/>
  <c r="G20" i="4"/>
  <c r="G6" i="2"/>
  <c r="G17" i="3" l="1"/>
  <c r="G8" i="2"/>
  <c r="G7" i="2"/>
  <c r="G11" i="2" s="1"/>
  <c r="G12" i="2" l="1"/>
  <c r="B9" i="3"/>
  <c r="B6" i="3"/>
  <c r="G7" i="4" s="1"/>
  <c r="H7" i="4" s="1"/>
  <c r="I7" i="4" s="1"/>
  <c r="H24" i="4"/>
  <c r="H17" i="3"/>
  <c r="I24" i="4" s="1"/>
  <c r="G9" i="2"/>
  <c r="B10" i="5" s="1"/>
  <c r="A10" i="11" s="1"/>
  <c r="C10" i="11" s="1"/>
  <c r="D10" i="11" s="1"/>
  <c r="D14" i="2"/>
  <c r="B14" i="2"/>
  <c r="G21" i="2" l="1"/>
  <c r="A18" i="6"/>
  <c r="B18" i="6" s="1"/>
  <c r="B5" i="5"/>
  <c r="D7" i="7"/>
  <c r="B11" i="3"/>
  <c r="G27" i="4" s="1"/>
  <c r="H27" i="4" s="1"/>
  <c r="B11" i="5" l="1"/>
  <c r="B6" i="5"/>
  <c r="B7" i="5"/>
  <c r="I8" i="4"/>
  <c r="H8" i="4"/>
  <c r="H33" i="4" s="1"/>
  <c r="G22" i="2"/>
  <c r="G8" i="9"/>
  <c r="G8" i="4"/>
  <c r="D6" i="7" l="1"/>
  <c r="D9" i="7"/>
  <c r="D8" i="7"/>
  <c r="B12" i="5"/>
  <c r="B6" i="10"/>
  <c r="B8" i="10" s="1"/>
  <c r="A4" i="12" s="1"/>
  <c r="B10" i="12" s="1"/>
  <c r="A5" i="11"/>
  <c r="C5" i="11" s="1"/>
  <c r="D5" i="11" s="1"/>
  <c r="F20" i="6"/>
  <c r="B5" i="8"/>
  <c r="D10" i="7"/>
  <c r="E6" i="9" l="1"/>
  <c r="F6" i="9" s="1"/>
  <c r="G12" i="9" s="1"/>
  <c r="G20" i="6"/>
  <c r="G11" i="9" s="1"/>
  <c r="B25" i="10" s="1"/>
  <c r="B16" i="5" s="1"/>
  <c r="B17" i="5" s="1"/>
  <c r="A15" i="11"/>
  <c r="C15" i="11" s="1"/>
  <c r="D15" i="11" s="1"/>
  <c r="A21" i="5"/>
  <c r="D11" i="7"/>
  <c r="E7" i="9" l="1"/>
  <c r="F7" i="9" s="1"/>
  <c r="G13" i="9" s="1"/>
  <c r="B26" i="10" s="1"/>
  <c r="G6" i="9"/>
  <c r="B21" i="5"/>
  <c r="G9" i="9"/>
  <c r="A20" i="11"/>
  <c r="C20" i="11" s="1"/>
  <c r="G7" i="9" l="1"/>
  <c r="B17" i="10"/>
  <c r="B23" i="10" s="1"/>
  <c r="A25" i="11"/>
  <c r="A5" i="12" s="1"/>
  <c r="B27" i="10"/>
  <c r="B30" i="10"/>
  <c r="A8" i="12" l="1"/>
  <c r="A7" i="12"/>
  <c r="A6" i="12"/>
  <c r="B11" i="12"/>
  <c r="B31" i="10"/>
  <c r="B25" i="11" s="1"/>
  <c r="C25" i="11" s="1"/>
  <c r="B33" i="10" l="1"/>
  <c r="C25" i="10" l="1"/>
  <c r="C26" i="10"/>
  <c r="C30" i="10"/>
  <c r="C22" i="10"/>
  <c r="C18" i="10"/>
  <c r="C21" i="10"/>
  <c r="C17" i="10"/>
  <c r="C19" i="10"/>
  <c r="C20" i="10"/>
  <c r="C14" i="10"/>
  <c r="C13" i="10"/>
  <c r="C12" i="10"/>
  <c r="C33" i="10" l="1"/>
  <c r="H20" i="9" l="1"/>
  <c r="H21" i="9" l="1"/>
  <c r="B18" i="10" s="1"/>
</calcChain>
</file>

<file path=xl/sharedStrings.xml><?xml version="1.0" encoding="utf-8"?>
<sst xmlns="http://schemas.openxmlformats.org/spreadsheetml/2006/main" count="352" uniqueCount="260">
  <si>
    <t>REBANHO</t>
  </si>
  <si>
    <t>Tabela 1: Caracterização da propriedade</t>
  </si>
  <si>
    <t>Propriedade/ha total</t>
  </si>
  <si>
    <t>Área (ha) para construção de piquetes</t>
  </si>
  <si>
    <t>Tabela 2: Caracterização do rebanho para composição do plantel</t>
  </si>
  <si>
    <t>Número de matrizes</t>
  </si>
  <si>
    <t>Peso de matrizes (kg)</t>
  </si>
  <si>
    <t>Númeor de reprodutores</t>
  </si>
  <si>
    <t>Peso de reprodutores (kg)</t>
  </si>
  <si>
    <t>TOTAL</t>
  </si>
  <si>
    <t>Quantidade de animais</t>
  </si>
  <si>
    <t>Valor unitário (R$)</t>
  </si>
  <si>
    <t>Valor total (R$)</t>
  </si>
  <si>
    <t>Tabela 3: índices Zootécnicos</t>
  </si>
  <si>
    <t>%</t>
  </si>
  <si>
    <t>Taxa de natalidade/prolificidade</t>
  </si>
  <si>
    <t>Taxa de mortalidade (cordeiros)</t>
  </si>
  <si>
    <t>Taxa de partos simples</t>
  </si>
  <si>
    <t>Taxa de partos duplos</t>
  </si>
  <si>
    <t>Rendimento de carcaça</t>
  </si>
  <si>
    <t>Tabela 4: Desenvolvimento do plantel</t>
  </si>
  <si>
    <t>Número de animais</t>
  </si>
  <si>
    <t>Matrizes acasaladas</t>
  </si>
  <si>
    <t>Matrizes paridas</t>
  </si>
  <si>
    <t>Dias de confinamento</t>
  </si>
  <si>
    <t>Lotação (UA/ha)</t>
  </si>
  <si>
    <t>Pesos corporais, kg</t>
  </si>
  <si>
    <t>GMD (g/kg)</t>
  </si>
  <si>
    <t>Peso ao nascer, kg</t>
  </si>
  <si>
    <t>Peso ao desmame, kg</t>
  </si>
  <si>
    <t>Peso ao abate, kg</t>
  </si>
  <si>
    <t>Ganho total de peso</t>
  </si>
  <si>
    <t>Número médio de crias/ovelha</t>
  </si>
  <si>
    <t>TOTAL DO REBANHO</t>
  </si>
  <si>
    <t xml:space="preserve">Cordeiros nascidos </t>
  </si>
  <si>
    <t>Cordeiros nascidos (parto simples)</t>
  </si>
  <si>
    <t>Cordeiros nascidos (parto duplo)</t>
  </si>
  <si>
    <t xml:space="preserve">Cordeiras nascidas </t>
  </si>
  <si>
    <t xml:space="preserve">TOTAL de cordeiros (machos e fêmeas) nascidos </t>
  </si>
  <si>
    <t>TOTAL de cordeiros (machos e fêmeas ) nascidos (-mort)</t>
  </si>
  <si>
    <t>INVENTÁRIO</t>
  </si>
  <si>
    <t>Tabela 5: Área de instalações</t>
  </si>
  <si>
    <t>Área</t>
  </si>
  <si>
    <t>Galpão para reprodutores (m²)</t>
  </si>
  <si>
    <t>Galpão confinamento (m²)</t>
  </si>
  <si>
    <t>Piquete (m)</t>
  </si>
  <si>
    <t>Para 4 piquetes</t>
  </si>
  <si>
    <t>Galpão para reprodutores, m²</t>
  </si>
  <si>
    <t>Galpão confinamento, m²</t>
  </si>
  <si>
    <t>Cochos (reprodutores), m</t>
  </si>
  <si>
    <t>Cochos (confinamento), m</t>
  </si>
  <si>
    <t>TOTAL COCHOS</t>
  </si>
  <si>
    <t>Tabela 6: Construção de cercas elétricas</t>
  </si>
  <si>
    <t>Materias</t>
  </si>
  <si>
    <t>Quantidade</t>
  </si>
  <si>
    <t>Valor total</t>
  </si>
  <si>
    <t>Valor total (R$) depreciado</t>
  </si>
  <si>
    <t>Eletreficador</t>
  </si>
  <si>
    <t>Isolador de cantos (tipo W)</t>
  </si>
  <si>
    <t>Cabo isolado (m)</t>
  </si>
  <si>
    <t>Chave interruptora</t>
  </si>
  <si>
    <t>Manopla para colchete</t>
  </si>
  <si>
    <t>Kit para-raios</t>
  </si>
  <si>
    <t>Voltímetro</t>
  </si>
  <si>
    <t>Hastes para aterramento</t>
  </si>
  <si>
    <t>Arame liso por piquete (bola)</t>
  </si>
  <si>
    <t>Arame liso para 4 piquetes (bola)</t>
  </si>
  <si>
    <t>Estaca</t>
  </si>
  <si>
    <t>Mourão</t>
  </si>
  <si>
    <t>DEPRECIAÇÃO - CERCAS</t>
  </si>
  <si>
    <t>Vida útil</t>
  </si>
  <si>
    <t>Valor residual (%)</t>
  </si>
  <si>
    <t>INFRAESTRUTURA</t>
  </si>
  <si>
    <t>Tabela 7: Custo de implementos</t>
  </si>
  <si>
    <t>Implementos</t>
  </si>
  <si>
    <t>Valor depreciado (R$)</t>
  </si>
  <si>
    <t>Distribuidor de fertilizantes</t>
  </si>
  <si>
    <t>Grade aradora hidraúlica de disco, niveladora</t>
  </si>
  <si>
    <t>Pulverizador (400 L)</t>
  </si>
  <si>
    <t>Reboque</t>
  </si>
  <si>
    <t>Semeadora adubadora mecânica</t>
  </si>
  <si>
    <t>DEPRECIAÇÃO - IMPLEMENTOS AGRÍCOLAS</t>
  </si>
  <si>
    <t>IMPLEMENTOS</t>
  </si>
  <si>
    <t>VIDA ÚTIL</t>
  </si>
  <si>
    <t>VALOR RESIDUAL (%)</t>
  </si>
  <si>
    <t>Mão de obra</t>
  </si>
  <si>
    <t>Tabela 8: Custo com benfeitorias</t>
  </si>
  <si>
    <t>Benfeitorias</t>
  </si>
  <si>
    <t>Casa do funcionário (m²)</t>
  </si>
  <si>
    <t xml:space="preserve">TOTAL GALPÃO </t>
  </si>
  <si>
    <t>CONSTRUÇÃO DE CERCAS ELÉTRICAS</t>
  </si>
  <si>
    <t>Isolador de cantos (Tipo W)</t>
  </si>
  <si>
    <t>TOTAL - CONSTRUÇÃO DE CERCAS</t>
  </si>
  <si>
    <t>INFRAESTRUTURAS</t>
  </si>
  <si>
    <t>Cochos</t>
  </si>
  <si>
    <t>Tronco</t>
  </si>
  <si>
    <t>Balança</t>
  </si>
  <si>
    <t>Pedilúvio (kg)</t>
  </si>
  <si>
    <t>Bebedouros</t>
  </si>
  <si>
    <t>Outras benfeitorias</t>
  </si>
  <si>
    <t>DEPRECIAÇÃO - BENFEITORIAS</t>
  </si>
  <si>
    <t>BENFEITORIAS</t>
  </si>
  <si>
    <t>SN</t>
  </si>
  <si>
    <t>REPOSIÇÃO</t>
  </si>
  <si>
    <t>Tabela 8: Resumo referente aos animais para reposição e confinamento</t>
  </si>
  <si>
    <t>ANIMAIS PARA REPOSIÇÃO, CONFINAMENTO E VENDA</t>
  </si>
  <si>
    <t>Reposição (20%)</t>
  </si>
  <si>
    <t>Confinamento</t>
  </si>
  <si>
    <t>Venda de matrizes</t>
  </si>
  <si>
    <t>CUSTO PARA PRODUÇÃO DE MATRIZES E MATRIZES DE REPOSIÇÃO</t>
  </si>
  <si>
    <t>Custo de matriz</t>
  </si>
  <si>
    <t>Custo por matriz de reposição (R$/10 meses)</t>
  </si>
  <si>
    <t xml:space="preserve">MATRIZES PARA VENDA </t>
  </si>
  <si>
    <t>R$/ano</t>
  </si>
  <si>
    <t>Valor (R$)</t>
  </si>
  <si>
    <t>Categoria</t>
  </si>
  <si>
    <t>Cordeiros</t>
  </si>
  <si>
    <t>Cordeiras</t>
  </si>
  <si>
    <t>CREEP FEEDING E RAÇÃO</t>
  </si>
  <si>
    <t>Tabela 10: Ingredientes, consumo e custo do creep feeding</t>
  </si>
  <si>
    <t>Ração Creep Feeding</t>
  </si>
  <si>
    <t>Ingredientes</t>
  </si>
  <si>
    <t>R$/kg</t>
  </si>
  <si>
    <t>R$/Ração</t>
  </si>
  <si>
    <t>Milho</t>
  </si>
  <si>
    <t>Farelo de soja</t>
  </si>
  <si>
    <t>Sal mineral</t>
  </si>
  <si>
    <t>Melaço de cana</t>
  </si>
  <si>
    <t>Calcário</t>
  </si>
  <si>
    <t>TOTAL (R$/100 kg)</t>
  </si>
  <si>
    <t>Consumo por animal (kg)</t>
  </si>
  <si>
    <t>Consumo total</t>
  </si>
  <si>
    <t>kg</t>
  </si>
  <si>
    <t>R$</t>
  </si>
  <si>
    <t>TABELA DE ALIMENTOS</t>
  </si>
  <si>
    <t>Silagem de milho (ton)</t>
  </si>
  <si>
    <t>Milho (60 kg)</t>
  </si>
  <si>
    <t>Farelo de soja (ton)</t>
  </si>
  <si>
    <t>Sal mineral (30 kg)</t>
  </si>
  <si>
    <t>Melaço de cana (ton)</t>
  </si>
  <si>
    <t>Calcário (25 kg)</t>
  </si>
  <si>
    <t>Tabela 11: Ingredientes, consumo e custo do confinamento</t>
  </si>
  <si>
    <t>Composição percentual dos ingredientes da ração do confinamento</t>
  </si>
  <si>
    <t>Ração (%)</t>
  </si>
  <si>
    <t>Silagem de milho</t>
  </si>
  <si>
    <t>Consumo de ração</t>
  </si>
  <si>
    <t>Consumo de ração dia/confinamento</t>
  </si>
  <si>
    <t>Consumo por animal</t>
  </si>
  <si>
    <t>kg/total</t>
  </si>
  <si>
    <t>R$/total</t>
  </si>
  <si>
    <t>SANIDADE</t>
  </si>
  <si>
    <t>Tabela 12: Vacinas e vermífugos</t>
  </si>
  <si>
    <t>Medicamentos</t>
  </si>
  <si>
    <t>Quantidade/dosagem aplicada</t>
  </si>
  <si>
    <t>Valor por dose (R$/dose)</t>
  </si>
  <si>
    <t>Banho sarnicida</t>
  </si>
  <si>
    <t>Vacina Clostridiose</t>
  </si>
  <si>
    <t>Vacina Foot rot</t>
  </si>
  <si>
    <t>Vermífugo oral (ml)</t>
  </si>
  <si>
    <t>Vermífugo injetável (ml)</t>
  </si>
  <si>
    <t>MEDICAMENTOS</t>
  </si>
  <si>
    <t>Valor total do medicamento</t>
  </si>
  <si>
    <t>Vacina Foot Rot</t>
  </si>
  <si>
    <t>-</t>
  </si>
  <si>
    <t>TOTAL DE VACINAS</t>
  </si>
  <si>
    <t>TOTAL DE VERMÍFUGOS + BANHO SARNICIDA</t>
  </si>
  <si>
    <t>CUSTO FIXO</t>
  </si>
  <si>
    <t>CUSTO VARIÁVEL</t>
  </si>
  <si>
    <t>Tabela 13: Custos fixos</t>
  </si>
  <si>
    <t>Número de funcionários</t>
  </si>
  <si>
    <t>Salário (R$)</t>
  </si>
  <si>
    <t>Total salário funcionário (R$)</t>
  </si>
  <si>
    <t>INSS (7,5%)</t>
  </si>
  <si>
    <t>FGTS (8%)</t>
  </si>
  <si>
    <t>Décimo terceiro (1/12)</t>
  </si>
  <si>
    <t>Férias (1/12)</t>
  </si>
  <si>
    <t>Adicional de férias (1/3)</t>
  </si>
  <si>
    <t>Total salário funcionário (mês)</t>
  </si>
  <si>
    <t>Total salário funcionário (ano)</t>
  </si>
  <si>
    <t>Assistência técnica</t>
  </si>
  <si>
    <t>Arrendamento de terra (R$/ha)</t>
  </si>
  <si>
    <t>Gasto com arrendamento (R$/ha/ano)</t>
  </si>
  <si>
    <t>Tabela 14: Custos gerais na propriedade</t>
  </si>
  <si>
    <t>Despesas gerais</t>
  </si>
  <si>
    <t>Gasto com energia elétrica (R$/mês)</t>
  </si>
  <si>
    <t>Litro de combustível/mês</t>
  </si>
  <si>
    <t>Preço do óleo diesel (R$/litro)</t>
  </si>
  <si>
    <t>Energia elétrica (R$/ano)</t>
  </si>
  <si>
    <t>Custo com combustível/ano</t>
  </si>
  <si>
    <t>Despesas bancárias</t>
  </si>
  <si>
    <t>Outras despesas</t>
  </si>
  <si>
    <t>TOTAL (R$)</t>
  </si>
  <si>
    <t>Custos gerais da propriedade (R$/ha/ano)</t>
  </si>
  <si>
    <t>Despesa com óleo, graxa, peças</t>
  </si>
  <si>
    <t>Tabela 15: Custo anual e manutenção do rebanho</t>
  </si>
  <si>
    <t>Insumos</t>
  </si>
  <si>
    <t>Preço (R$)</t>
  </si>
  <si>
    <t>Total</t>
  </si>
  <si>
    <t>Vacinas</t>
  </si>
  <si>
    <t>Vermífugos (ml)</t>
  </si>
  <si>
    <t>CONFINAMENTO</t>
  </si>
  <si>
    <t>Ração confinamento</t>
  </si>
  <si>
    <t xml:space="preserve">Vacinas </t>
  </si>
  <si>
    <t>Tabela 16: Custo anual de manutenção de pastagens</t>
  </si>
  <si>
    <t>Especificação</t>
  </si>
  <si>
    <t>Unidade</t>
  </si>
  <si>
    <t>Quantidade/unidade/ha</t>
  </si>
  <si>
    <t>Preço/unidade</t>
  </si>
  <si>
    <t>Valor total (R$/ha)</t>
  </si>
  <si>
    <t>Ureia</t>
  </si>
  <si>
    <t>Adubo (NPK)</t>
  </si>
  <si>
    <t xml:space="preserve">h/m </t>
  </si>
  <si>
    <t>TOTAL para 50% da área</t>
  </si>
  <si>
    <t>MANUTENÇÃO DE PASTAGENS</t>
  </si>
  <si>
    <t>Trator + distribuidor de fertilizantes</t>
  </si>
  <si>
    <t>Trator + distribuidor de fertilizantes (4x)</t>
  </si>
  <si>
    <t>ton</t>
  </si>
  <si>
    <t>Ureia (N)</t>
  </si>
  <si>
    <t>h/m</t>
  </si>
  <si>
    <t>CUSTO TOTAL</t>
  </si>
  <si>
    <t>Tabela 17: Investimentos, custos fixos e variáveis na produção de cordeiros</t>
  </si>
  <si>
    <t>Investimentos</t>
  </si>
  <si>
    <t>Implementos (tab. 7)</t>
  </si>
  <si>
    <t>Benfeitorias (tab. 8)</t>
  </si>
  <si>
    <t>Rebanho (tab. 2)</t>
  </si>
  <si>
    <t>CUSTOS</t>
  </si>
  <si>
    <t>Custos Fixos (tab. 13)</t>
  </si>
  <si>
    <t>Salário funcionário</t>
  </si>
  <si>
    <t>Assistência Técnica</t>
  </si>
  <si>
    <t>Arrendamento da terra</t>
  </si>
  <si>
    <t>TOTAL PARCIAL</t>
  </si>
  <si>
    <t>Custos Variáveis (tab. 15 e 16)</t>
  </si>
  <si>
    <t>Manutenção do rebanho</t>
  </si>
  <si>
    <t>Manutenção de pastagens</t>
  </si>
  <si>
    <t>Combustível</t>
  </si>
  <si>
    <t>Energia elétrica</t>
  </si>
  <si>
    <t>Confinamento (tab. 15)</t>
  </si>
  <si>
    <t>Ração</t>
  </si>
  <si>
    <t>FÊMEAS PARA VENDA</t>
  </si>
  <si>
    <t>Custo</t>
  </si>
  <si>
    <t>RECEITA</t>
  </si>
  <si>
    <t>Tabela 18: Venda dos animais do confinamento</t>
  </si>
  <si>
    <t>Peso vivo (kg)</t>
  </si>
  <si>
    <t>RC total (kg)</t>
  </si>
  <si>
    <t>R$/PV kg</t>
  </si>
  <si>
    <t>Tabela 19: Venda de animais de reposição</t>
  </si>
  <si>
    <t>Tabela 20: Venda de matrizes</t>
  </si>
  <si>
    <t>Tabela 21: Venda de lã</t>
  </si>
  <si>
    <t>Peso da lã (kg)</t>
  </si>
  <si>
    <t xml:space="preserve">R$/ kg lã </t>
  </si>
  <si>
    <t>Tabela 22: Lucratividade do sistema</t>
  </si>
  <si>
    <t>Receita</t>
  </si>
  <si>
    <t>Despesa</t>
  </si>
  <si>
    <t>Lucro</t>
  </si>
  <si>
    <t>VIABILIDADE</t>
  </si>
  <si>
    <t>Tabela 23: Viabilidade econômica</t>
  </si>
  <si>
    <t xml:space="preserve">TOTAL </t>
  </si>
  <si>
    <t>TIR</t>
  </si>
  <si>
    <t>VPL</t>
  </si>
  <si>
    <t>Contato: haylleensa@gmail.com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</si>
</sst>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0.0"/>
    <numFmt numFmtId="165" formatCode="_-[$R$-416]\ * #,##0.00_-;\-[$R$-416]\ * #,##0.00_-;_-[$R$-416]\ * &quot;-&quot;??_-;_-@_-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0" fillId="2" borderId="0" xfId="0" applyFill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1" xfId="0" applyBorder="1"/>
    <xf numFmtId="0" fontId="3" fillId="4" borderId="3" xfId="0" applyFont="1" applyFill="1" applyBorder="1" applyAlignment="1">
      <alignment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165" fontId="0" fillId="0" borderId="2" xfId="0" applyNumberFormat="1" applyBorder="1" applyAlignment="1">
      <alignment vertical="center"/>
    </xf>
    <xf numFmtId="165" fontId="3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4" borderId="3" xfId="0" applyFont="1" applyFill="1" applyBorder="1" applyAlignment="1">
      <alignment horizontal="center" vertical="center"/>
    </xf>
    <xf numFmtId="0" fontId="4" fillId="5" borderId="0" xfId="0" applyFont="1" applyFill="1"/>
    <xf numFmtId="0" fontId="2" fillId="5" borderId="0" xfId="0" applyFont="1" applyFill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4" fillId="5" borderId="3" xfId="0" applyFont="1" applyFill="1" applyBorder="1"/>
    <xf numFmtId="0" fontId="2" fillId="5" borderId="0" xfId="0" applyFont="1" applyFill="1" applyAlignment="1">
      <alignment horizontal="center"/>
    </xf>
    <xf numFmtId="0" fontId="4" fillId="5" borderId="2" xfId="0" applyFont="1" applyFill="1" applyBorder="1"/>
    <xf numFmtId="0" fontId="3" fillId="2" borderId="3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165" fontId="3" fillId="3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/>
    <xf numFmtId="0" fontId="2" fillId="8" borderId="0" xfId="0" applyFont="1" applyFill="1" applyAlignment="1">
      <alignment horizontal="center"/>
    </xf>
    <xf numFmtId="0" fontId="3" fillId="7" borderId="0" xfId="0" applyFont="1" applyFill="1"/>
    <xf numFmtId="9" fontId="3" fillId="7" borderId="0" xfId="0" applyNumberFormat="1" applyFont="1" applyFill="1"/>
    <xf numFmtId="0" fontId="2" fillId="9" borderId="0" xfId="0" applyFont="1" applyFill="1" applyAlignment="1">
      <alignment horizontal="left"/>
    </xf>
    <xf numFmtId="0" fontId="2" fillId="9" borderId="0" xfId="0" applyFont="1" applyFill="1" applyAlignment="1">
      <alignment vertical="center"/>
    </xf>
    <xf numFmtId="0" fontId="2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/>
    <xf numFmtId="2" fontId="3" fillId="2" borderId="3" xfId="0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3" fillId="0" borderId="2" xfId="0" applyNumberFormat="1" applyFont="1" applyBorder="1"/>
    <xf numFmtId="0" fontId="3" fillId="6" borderId="0" xfId="0" applyFont="1" applyFill="1"/>
    <xf numFmtId="8" fontId="3" fillId="6" borderId="0" xfId="0" applyNumberFormat="1" applyFont="1" applyFill="1" applyAlignment="1">
      <alignment horizontal="center" vertical="center"/>
    </xf>
    <xf numFmtId="0" fontId="2" fillId="8" borderId="0" xfId="0" applyFont="1" applyFill="1"/>
    <xf numFmtId="0" fontId="3" fillId="7" borderId="0" xfId="0" applyFont="1" applyFill="1" applyAlignment="1">
      <alignment horizontal="center" vertical="center"/>
    </xf>
    <xf numFmtId="9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wrapText="1"/>
    </xf>
    <xf numFmtId="0" fontId="2" fillId="9" borderId="0" xfId="0" applyFont="1" applyFill="1"/>
    <xf numFmtId="0" fontId="2" fillId="9" borderId="0" xfId="0" applyFont="1" applyFill="1" applyAlignment="1">
      <alignment horizontal="center"/>
    </xf>
    <xf numFmtId="165" fontId="3" fillId="3" borderId="0" xfId="0" applyNumberFormat="1" applyFont="1" applyFill="1"/>
    <xf numFmtId="165" fontId="3" fillId="2" borderId="3" xfId="0" applyNumberFormat="1" applyFont="1" applyFill="1" applyBorder="1"/>
    <xf numFmtId="165" fontId="3" fillId="3" borderId="2" xfId="0" applyNumberFormat="1" applyFont="1" applyFill="1" applyBorder="1"/>
    <xf numFmtId="0" fontId="5" fillId="6" borderId="0" xfId="0" applyFont="1" applyFill="1"/>
    <xf numFmtId="0" fontId="2" fillId="10" borderId="0" xfId="0" applyFont="1" applyFill="1" applyAlignment="1">
      <alignment horizontal="center" vertical="center"/>
    </xf>
    <xf numFmtId="0" fontId="2" fillId="10" borderId="0" xfId="0" applyFont="1" applyFill="1"/>
    <xf numFmtId="0" fontId="2" fillId="10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9" fontId="3" fillId="7" borderId="0" xfId="0" applyNumberFormat="1" applyFont="1" applyFill="1" applyAlignment="1">
      <alignment horizontal="center"/>
    </xf>
    <xf numFmtId="2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165" fontId="3" fillId="0" borderId="2" xfId="0" applyNumberFormat="1" applyFont="1" applyBorder="1" applyAlignment="1">
      <alignment vertical="center"/>
    </xf>
    <xf numFmtId="0" fontId="0" fillId="2" borderId="1" xfId="0" applyFill="1" applyBorder="1"/>
    <xf numFmtId="165" fontId="0" fillId="2" borderId="3" xfId="0" applyNumberFormat="1" applyFill="1" applyBorder="1"/>
    <xf numFmtId="0" fontId="5" fillId="0" borderId="0" xfId="0" applyFont="1" applyAlignment="1">
      <alignment horizontal="center" vertical="center" wrapText="1"/>
    </xf>
    <xf numFmtId="0" fontId="2" fillId="9" borderId="0" xfId="0" applyFont="1" applyFill="1" applyAlignment="1">
      <alignment horizontal="left" vertical="center"/>
    </xf>
    <xf numFmtId="1" fontId="3" fillId="2" borderId="1" xfId="0" applyNumberFormat="1" applyFont="1" applyFill="1" applyBorder="1" applyAlignment="1">
      <alignment horizontal="center"/>
    </xf>
    <xf numFmtId="0" fontId="4" fillId="9" borderId="0" xfId="0" applyFont="1" applyFill="1"/>
    <xf numFmtId="165" fontId="3" fillId="7" borderId="0" xfId="0" applyNumberFormat="1" applyFont="1" applyFill="1"/>
    <xf numFmtId="0" fontId="3" fillId="6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2" fillId="9" borderId="0" xfId="0" applyFont="1" applyFill="1" applyAlignment="1">
      <alignment horizontal="center" wrapText="1"/>
    </xf>
    <xf numFmtId="0" fontId="2" fillId="11" borderId="0" xfId="0" applyFont="1" applyFill="1"/>
    <xf numFmtId="0" fontId="2" fillId="11" borderId="0" xfId="0" applyFont="1" applyFill="1" applyAlignment="1">
      <alignment horizontal="center" vertical="center" wrapText="1"/>
    </xf>
    <xf numFmtId="0" fontId="3" fillId="12" borderId="0" xfId="0" applyFont="1" applyFill="1"/>
    <xf numFmtId="165" fontId="3" fillId="1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5" fontId="3" fillId="3" borderId="0" xfId="0" applyNumberFormat="1" applyFont="1" applyFill="1" applyAlignment="1">
      <alignment horizontal="center"/>
    </xf>
    <xf numFmtId="165" fontId="3" fillId="7" borderId="0" xfId="0" applyNumberFormat="1" applyFont="1" applyFill="1" applyAlignment="1">
      <alignment vertical="center"/>
    </xf>
    <xf numFmtId="0" fontId="0" fillId="2" borderId="3" xfId="0" applyFill="1" applyBorder="1"/>
    <xf numFmtId="165" fontId="5" fillId="6" borderId="0" xfId="0" applyNumberFormat="1" applyFont="1" applyFill="1" applyAlignment="1">
      <alignment vertical="center"/>
    </xf>
    <xf numFmtId="2" fontId="3" fillId="0" borderId="0" xfId="1" applyNumberFormat="1" applyFont="1" applyAlignment="1">
      <alignment horizontal="center"/>
    </xf>
    <xf numFmtId="2" fontId="3" fillId="3" borderId="0" xfId="0" applyNumberFormat="1" applyFont="1" applyFill="1" applyAlignment="1">
      <alignment horizontal="center" vertical="center"/>
    </xf>
    <xf numFmtId="9" fontId="3" fillId="2" borderId="1" xfId="0" applyNumberFormat="1" applyFont="1" applyFill="1" applyBorder="1"/>
    <xf numFmtId="8" fontId="3" fillId="2" borderId="3" xfId="0" applyNumberFormat="1" applyFont="1" applyFill="1" applyBorder="1"/>
    <xf numFmtId="0" fontId="8" fillId="0" borderId="0" xfId="0" applyFont="1"/>
    <xf numFmtId="0" fontId="3" fillId="3" borderId="1" xfId="0" applyFont="1" applyFill="1" applyBorder="1"/>
    <xf numFmtId="0" fontId="3" fillId="13" borderId="0" xfId="0" applyFont="1" applyFill="1"/>
    <xf numFmtId="0" fontId="8" fillId="14" borderId="0" xfId="0" applyFont="1" applyFill="1" applyAlignment="1">
      <alignment horizontal="center"/>
    </xf>
    <xf numFmtId="0" fontId="2" fillId="5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/>
    </xf>
    <xf numFmtId="0" fontId="5" fillId="6" borderId="0" xfId="0" applyFont="1" applyFill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left"/>
    </xf>
    <xf numFmtId="0" fontId="2" fillId="8" borderId="0" xfId="0" applyFont="1" applyFill="1" applyAlignment="1">
      <alignment horizontal="center"/>
    </xf>
    <xf numFmtId="0" fontId="2" fillId="10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left" vertical="center"/>
    </xf>
    <xf numFmtId="0" fontId="6" fillId="9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0" fontId="2" fillId="9" borderId="0" xfId="0" applyFont="1" applyFill="1"/>
    <xf numFmtId="0" fontId="2" fillId="11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/>
    </xf>
    <xf numFmtId="0" fontId="3" fillId="0" borderId="0" xfId="0" applyFont="1" applyFill="1" applyAlignment="1">
      <alignment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24</xdr:row>
      <xdr:rowOff>175260</xdr:rowOff>
    </xdr:from>
    <xdr:to>
      <xdr:col>10</xdr:col>
      <xdr:colOff>76200</xdr:colOff>
      <xdr:row>30</xdr:row>
      <xdr:rowOff>114300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0DE0100-114B-92AC-5B62-E18E1F4651D9}"/>
            </a:ext>
          </a:extLst>
        </xdr:cNvPr>
        <xdr:cNvSpPr/>
      </xdr:nvSpPr>
      <xdr:spPr>
        <a:xfrm>
          <a:off x="10911840" y="4579620"/>
          <a:ext cx="1371600" cy="103632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182880</xdr:colOff>
      <xdr:row>26</xdr:row>
      <xdr:rowOff>60960</xdr:rowOff>
    </xdr:from>
    <xdr:to>
      <xdr:col>12</xdr:col>
      <xdr:colOff>419100</xdr:colOff>
      <xdr:row>30</xdr:row>
      <xdr:rowOff>137160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92473A5B-1063-07A8-FF5C-F5FFB4D5EEC6}"/>
            </a:ext>
          </a:extLst>
        </xdr:cNvPr>
        <xdr:cNvSpPr/>
      </xdr:nvSpPr>
      <xdr:spPr>
        <a:xfrm>
          <a:off x="12390120" y="4831080"/>
          <a:ext cx="1455420" cy="807720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434340</xdr:colOff>
      <xdr:row>0</xdr:row>
      <xdr:rowOff>152400</xdr:rowOff>
    </xdr:from>
    <xdr:to>
      <xdr:col>12</xdr:col>
      <xdr:colOff>419100</xdr:colOff>
      <xdr:row>6</xdr:row>
      <xdr:rowOff>114300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9D9BC8B-80E3-6BA4-0DDF-FB1F3B3BE8D1}"/>
            </a:ext>
          </a:extLst>
        </xdr:cNvPr>
        <xdr:cNvSpPr/>
      </xdr:nvSpPr>
      <xdr:spPr>
        <a:xfrm>
          <a:off x="12641580" y="152400"/>
          <a:ext cx="1203960" cy="107442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160020</xdr:colOff>
      <xdr:row>0</xdr:row>
      <xdr:rowOff>7620</xdr:rowOff>
    </xdr:from>
    <xdr:to>
      <xdr:col>0</xdr:col>
      <xdr:colOff>1737360</xdr:colOff>
      <xdr:row>7</xdr:row>
      <xdr:rowOff>129540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F42EF8A6-BA26-34D7-990E-FA5F8D75C1EB}"/>
            </a:ext>
          </a:extLst>
        </xdr:cNvPr>
        <xdr:cNvSpPr/>
      </xdr:nvSpPr>
      <xdr:spPr>
        <a:xfrm>
          <a:off x="160020" y="7620"/>
          <a:ext cx="1577340" cy="1417320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342900</xdr:colOff>
      <xdr:row>25</xdr:row>
      <xdr:rowOff>160020</xdr:rowOff>
    </xdr:from>
    <xdr:to>
      <xdr:col>0</xdr:col>
      <xdr:colOff>1386840</xdr:colOff>
      <xdr:row>30</xdr:row>
      <xdr:rowOff>137160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873A14B5-D388-69E0-29BC-65217146D08C}"/>
            </a:ext>
          </a:extLst>
        </xdr:cNvPr>
        <xdr:cNvSpPr/>
      </xdr:nvSpPr>
      <xdr:spPr>
        <a:xfrm>
          <a:off x="342900" y="4747260"/>
          <a:ext cx="1043940" cy="891540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1501140</xdr:colOff>
      <xdr:row>26</xdr:row>
      <xdr:rowOff>144780</xdr:rowOff>
    </xdr:from>
    <xdr:to>
      <xdr:col>1</xdr:col>
      <xdr:colOff>1379220</xdr:colOff>
      <xdr:row>30</xdr:row>
      <xdr:rowOff>137160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910A3AB0-A8B6-DBFE-7BDB-917693A9209C}"/>
            </a:ext>
          </a:extLst>
        </xdr:cNvPr>
        <xdr:cNvSpPr/>
      </xdr:nvSpPr>
      <xdr:spPr>
        <a:xfrm>
          <a:off x="1501140" y="4914900"/>
          <a:ext cx="1882140" cy="723900"/>
        </a:xfrm>
        <a:prstGeom prst="rect">
          <a:avLst/>
        </a:prstGeom>
        <a:blipFill dpi="0"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1104900</xdr:colOff>
      <xdr:row>7</xdr:row>
      <xdr:rowOff>38100</xdr:rowOff>
    </xdr:from>
    <xdr:to>
      <xdr:col>7</xdr:col>
      <xdr:colOff>426720</xdr:colOff>
      <xdr:row>16</xdr:row>
      <xdr:rowOff>175260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5DFBE245-9464-A9A3-061F-52FFD5BFCFE6}"/>
            </a:ext>
          </a:extLst>
        </xdr:cNvPr>
        <xdr:cNvSpPr txBox="1"/>
      </xdr:nvSpPr>
      <xdr:spPr>
        <a:xfrm>
          <a:off x="3108960" y="1333500"/>
          <a:ext cx="7696200" cy="1783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3000">
              <a:latin typeface="+mn-lt"/>
              <a:cs typeface="Times New Roman" panose="02020603050405020304" pitchFamily="18" charset="0"/>
            </a:rPr>
            <a:t>ANÁLISE ECONÔMICA DE SISTEMAS DE PRODUÇÃO DE OVINOS COM DIFERENTES</a:t>
          </a:r>
          <a:r>
            <a:rPr lang="pt-BR" sz="3000" baseline="0">
              <a:latin typeface="+mn-lt"/>
              <a:cs typeface="Times New Roman" panose="02020603050405020304" pitchFamily="18" charset="0"/>
            </a:rPr>
            <a:t> TAXAS DE NATALIDADE</a:t>
          </a:r>
          <a:endParaRPr lang="pt-BR" sz="300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30480</xdr:colOff>
      <xdr:row>16</xdr:row>
      <xdr:rowOff>144780</xdr:rowOff>
    </xdr:from>
    <xdr:to>
      <xdr:col>6</xdr:col>
      <xdr:colOff>906780</xdr:colOff>
      <xdr:row>23</xdr:row>
      <xdr:rowOff>152400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39A4681E-8398-4D81-FC09-62C385E67D68}"/>
            </a:ext>
          </a:extLst>
        </xdr:cNvPr>
        <xdr:cNvSpPr txBox="1"/>
      </xdr:nvSpPr>
      <xdr:spPr>
        <a:xfrm>
          <a:off x="6987540" y="3086100"/>
          <a:ext cx="3063240" cy="1287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2000">
              <a:latin typeface="+mn-lt"/>
              <a:cs typeface="Times New Roman" panose="02020603050405020304" pitchFamily="18" charset="0"/>
            </a:rPr>
            <a:t>Haylleen Sá</a:t>
          </a:r>
        </a:p>
        <a:p>
          <a:pPr algn="r"/>
          <a:r>
            <a:rPr lang="pt-BR" sz="2000">
              <a:latin typeface="+mn-lt"/>
              <a:cs typeface="Times New Roman" panose="02020603050405020304" pitchFamily="18" charset="0"/>
            </a:rPr>
            <a:t>Ricardo Zambarda Vaz</a:t>
          </a:r>
        </a:p>
        <a:p>
          <a:pPr algn="r"/>
          <a:r>
            <a:rPr lang="pt-BR" sz="2000">
              <a:latin typeface="+mn-lt"/>
              <a:cs typeface="Times New Roman" panose="02020603050405020304" pitchFamily="18" charset="0"/>
            </a:rPr>
            <a:t>Edicarlos Oliveira Queiroz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4D9DF-79CC-4B84-817A-27BBABD615A3}">
  <dimension ref="A1:M31"/>
  <sheetViews>
    <sheetView showGridLines="0" tabSelected="1" workbookViewId="0">
      <selection sqref="A1:M31"/>
    </sheetView>
  </sheetViews>
  <sheetFormatPr defaultRowHeight="14.4" x14ac:dyDescent="0.3"/>
  <cols>
    <col min="1" max="1" width="29.21875" customWidth="1"/>
    <col min="2" max="2" width="22.6640625" customWidth="1"/>
    <col min="3" max="3" width="20.109375" customWidth="1"/>
    <col min="4" max="4" width="20.5546875" customWidth="1"/>
    <col min="6" max="6" width="31.88671875" customWidth="1"/>
    <col min="7" max="7" width="18" customWidth="1"/>
  </cols>
  <sheetData>
    <row r="1" spans="1:13" ht="15.6" customHeight="1" x14ac:dyDescent="0.3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3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</row>
    <row r="6" spans="1:13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</row>
    <row r="7" spans="1:13" x14ac:dyDescent="0.3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</row>
    <row r="8" spans="1:13" x14ac:dyDescent="0.3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</row>
    <row r="9" spans="1:13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13" x14ac:dyDescent="0.3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1" spans="1:13" x14ac:dyDescent="0.3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</row>
    <row r="12" spans="1:13" x14ac:dyDescent="0.3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</row>
    <row r="13" spans="1:13" x14ac:dyDescent="0.3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</row>
    <row r="14" spans="1:13" x14ac:dyDescent="0.3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</row>
    <row r="15" spans="1:13" x14ac:dyDescent="0.3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</row>
    <row r="16" spans="1:13" x14ac:dyDescent="0.3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</row>
    <row r="17" spans="1:13" x14ac:dyDescent="0.3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</row>
    <row r="18" spans="1:13" x14ac:dyDescent="0.3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</row>
    <row r="19" spans="1:13" x14ac:dyDescent="0.3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</row>
    <row r="20" spans="1:13" x14ac:dyDescent="0.3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</row>
    <row r="21" spans="1:13" x14ac:dyDescent="0.3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</row>
    <row r="22" spans="1:13" x14ac:dyDescent="0.3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</row>
    <row r="23" spans="1:13" x14ac:dyDescent="0.3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</row>
    <row r="24" spans="1:13" x14ac:dyDescent="0.3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</row>
    <row r="25" spans="1:13" x14ac:dyDescent="0.3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</row>
    <row r="26" spans="1:13" x14ac:dyDescent="0.3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</row>
    <row r="27" spans="1:13" x14ac:dyDescent="0.3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</row>
    <row r="28" spans="1:13" x14ac:dyDescent="0.3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13" x14ac:dyDescent="0.3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13" x14ac:dyDescent="0.3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</row>
    <row r="31" spans="1:13" x14ac:dyDescent="0.3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</sheetData>
  <sheetProtection formatCells="0" formatColumns="0" formatRows="0" insertColumns="0" insertRows="0" deleteColumns="0" deleteRows="0"/>
  <mergeCells count="1">
    <mergeCell ref="A1:M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9BAF-1079-416B-B41A-7FEB57E14472}">
  <dimension ref="A1:C34"/>
  <sheetViews>
    <sheetView showGridLines="0" showRowColHeaders="0" workbookViewId="0"/>
  </sheetViews>
  <sheetFormatPr defaultRowHeight="14.4" x14ac:dyDescent="0.3"/>
  <cols>
    <col min="1" max="1" width="25.21875" customWidth="1"/>
    <col min="2" max="2" width="17.6640625" customWidth="1"/>
    <col min="3" max="3" width="22.77734375" customWidth="1"/>
  </cols>
  <sheetData>
    <row r="1" spans="1:3" ht="15.6" x14ac:dyDescent="0.3">
      <c r="A1" s="121" t="s">
        <v>219</v>
      </c>
    </row>
    <row r="3" spans="1:3" x14ac:dyDescent="0.3">
      <c r="A3" s="143" t="s">
        <v>220</v>
      </c>
      <c r="B3" s="143"/>
      <c r="C3" s="143"/>
    </row>
    <row r="4" spans="1:3" x14ac:dyDescent="0.3">
      <c r="A4" s="3" t="s">
        <v>221</v>
      </c>
      <c r="B4" s="11" t="s">
        <v>133</v>
      </c>
      <c r="C4" s="11" t="s">
        <v>14</v>
      </c>
    </row>
    <row r="5" spans="1:3" x14ac:dyDescent="0.3">
      <c r="A5" s="3" t="s">
        <v>222</v>
      </c>
      <c r="B5" s="7">
        <f>INFRAESTRUTURA!C10</f>
        <v>0</v>
      </c>
      <c r="C5" s="3"/>
    </row>
    <row r="6" spans="1:3" x14ac:dyDescent="0.3">
      <c r="A6" s="3" t="s">
        <v>223</v>
      </c>
      <c r="B6" s="7" t="e">
        <f>INFRAESTRUTURA!$H$33</f>
        <v>#DIV/0!</v>
      </c>
      <c r="C6" s="3"/>
    </row>
    <row r="7" spans="1:3" x14ac:dyDescent="0.3">
      <c r="A7" s="3" t="s">
        <v>224</v>
      </c>
      <c r="B7" s="7" t="e">
        <f>REBANHO!$D$14</f>
        <v>#DIV/0!</v>
      </c>
      <c r="C7" s="3"/>
    </row>
    <row r="8" spans="1:3" x14ac:dyDescent="0.3">
      <c r="A8" s="8" t="s">
        <v>256</v>
      </c>
      <c r="B8" s="10" t="e">
        <f>SUM(B5:B7)</f>
        <v>#DIV/0!</v>
      </c>
      <c r="C8" s="8"/>
    </row>
    <row r="9" spans="1:3" x14ac:dyDescent="0.3">
      <c r="A9" s="127" t="s">
        <v>225</v>
      </c>
      <c r="B9" s="144"/>
      <c r="C9" s="144"/>
    </row>
    <row r="10" spans="1:3" x14ac:dyDescent="0.3">
      <c r="A10" s="144"/>
      <c r="B10" s="144"/>
      <c r="C10" s="144"/>
    </row>
    <row r="11" spans="1:3" x14ac:dyDescent="0.3">
      <c r="A11" s="84" t="s">
        <v>226</v>
      </c>
      <c r="B11" s="116"/>
      <c r="C11" s="84"/>
    </row>
    <row r="12" spans="1:3" x14ac:dyDescent="0.3">
      <c r="A12" s="3" t="s">
        <v>227</v>
      </c>
      <c r="B12" s="7">
        <f>'CUSTO FIXO'!C14</f>
        <v>0</v>
      </c>
      <c r="C12" s="117" t="e">
        <f>($B$12/$B$33)*100</f>
        <v>#DIV/0!</v>
      </c>
    </row>
    <row r="13" spans="1:3" x14ac:dyDescent="0.3">
      <c r="A13" s="3" t="s">
        <v>228</v>
      </c>
      <c r="B13" s="7">
        <f>'CUSTO FIXO'!C15</f>
        <v>0</v>
      </c>
      <c r="C13" s="117" t="e">
        <f>($B$13/$B$33)*100</f>
        <v>#DIV/0!</v>
      </c>
    </row>
    <row r="14" spans="1:3" x14ac:dyDescent="0.3">
      <c r="A14" s="3" t="s">
        <v>229</v>
      </c>
      <c r="B14" s="7">
        <f>'CUSTO FIXO'!C17</f>
        <v>0</v>
      </c>
      <c r="C14" s="117" t="e">
        <f>($B$14/$B$33)*100</f>
        <v>#DIV/0!</v>
      </c>
    </row>
    <row r="15" spans="1:3" ht="18" customHeight="1" x14ac:dyDescent="0.3">
      <c r="A15" s="9" t="s">
        <v>230</v>
      </c>
      <c r="B15" s="10">
        <f>SUM(B12:B14)</f>
        <v>0</v>
      </c>
      <c r="C15" s="8"/>
    </row>
    <row r="16" spans="1:3" x14ac:dyDescent="0.3">
      <c r="A16" s="145" t="s">
        <v>231</v>
      </c>
      <c r="B16" s="145"/>
      <c r="C16" s="145"/>
    </row>
    <row r="17" spans="1:3" x14ac:dyDescent="0.3">
      <c r="A17" s="3" t="s">
        <v>232</v>
      </c>
      <c r="B17" s="7" t="e">
        <f>'CUSTO VARIÁVEL'!$G$9</f>
        <v>#DIV/0!</v>
      </c>
      <c r="C17" s="57" t="e">
        <f>($B$17*100)/$B$33</f>
        <v>#DIV/0!</v>
      </c>
    </row>
    <row r="18" spans="1:3" x14ac:dyDescent="0.3">
      <c r="A18" s="3" t="s">
        <v>233</v>
      </c>
      <c r="B18" s="7">
        <f>'CUSTO VARIÁVEL'!H21</f>
        <v>0</v>
      </c>
      <c r="C18" s="57" t="e">
        <f>($B$18*100)/$B$33</f>
        <v>#DIV/0!</v>
      </c>
    </row>
    <row r="19" spans="1:3" x14ac:dyDescent="0.3">
      <c r="A19" s="3" t="s">
        <v>190</v>
      </c>
      <c r="B19" s="7">
        <f>'CUSTO VARIÁVEL'!B12</f>
        <v>0</v>
      </c>
      <c r="C19" s="57" t="e">
        <f>($B$19*100)/$B$33</f>
        <v>#DIV/0!</v>
      </c>
    </row>
    <row r="20" spans="1:3" x14ac:dyDescent="0.3">
      <c r="A20" s="3" t="s">
        <v>189</v>
      </c>
      <c r="B20" s="7">
        <f>'CUSTO VARIÁVEL'!B11</f>
        <v>0</v>
      </c>
      <c r="C20" s="57" t="e">
        <f>($B$20*100)/$B$33</f>
        <v>#DIV/0!</v>
      </c>
    </row>
    <row r="21" spans="1:3" x14ac:dyDescent="0.3">
      <c r="A21" s="3" t="s">
        <v>234</v>
      </c>
      <c r="B21" s="7">
        <f>'CUSTO VARIÁVEL'!B9</f>
        <v>0</v>
      </c>
      <c r="C21" s="57" t="e">
        <f>($B$21*100)/$B$33</f>
        <v>#DIV/0!</v>
      </c>
    </row>
    <row r="22" spans="1:3" x14ac:dyDescent="0.3">
      <c r="A22" s="3" t="s">
        <v>235</v>
      </c>
      <c r="B22" s="7">
        <f>'CUSTO VARIÁVEL'!B8</f>
        <v>0</v>
      </c>
      <c r="C22" s="57" t="e">
        <f>($B$22*100)/$B$33</f>
        <v>#DIV/0!</v>
      </c>
    </row>
    <row r="23" spans="1:3" ht="18" customHeight="1" x14ac:dyDescent="0.3">
      <c r="A23" s="9" t="s">
        <v>230</v>
      </c>
      <c r="B23" s="10" t="e">
        <f>SUM(B17:B22)</f>
        <v>#DIV/0!</v>
      </c>
      <c r="C23" s="8"/>
    </row>
    <row r="24" spans="1:3" x14ac:dyDescent="0.3">
      <c r="A24" s="146" t="s">
        <v>236</v>
      </c>
      <c r="B24" s="146"/>
      <c r="C24" s="146"/>
    </row>
    <row r="25" spans="1:3" x14ac:dyDescent="0.3">
      <c r="A25" s="3" t="s">
        <v>237</v>
      </c>
      <c r="B25" s="7" t="e">
        <f>'CUSTO VARIÁVEL'!$G$11</f>
        <v>#DIV/0!</v>
      </c>
      <c r="C25" s="57" t="e">
        <f>($B$25*100)/$B$33</f>
        <v>#DIV/0!</v>
      </c>
    </row>
    <row r="26" spans="1:3" x14ac:dyDescent="0.3">
      <c r="A26" s="3" t="s">
        <v>152</v>
      </c>
      <c r="B26" s="60" t="e">
        <f>'CUSTO VARIÁVEL'!$G$12+'CUSTO VARIÁVEL'!$G$13</f>
        <v>#DIV/0!</v>
      </c>
      <c r="C26" s="57" t="e">
        <f>($B$26*100)/$B$33</f>
        <v>#DIV/0!</v>
      </c>
    </row>
    <row r="27" spans="1:3" x14ac:dyDescent="0.3">
      <c r="A27" s="8" t="s">
        <v>230</v>
      </c>
      <c r="B27" s="69" t="e">
        <f>SUM(B25:B26)</f>
        <v>#DIV/0!</v>
      </c>
      <c r="C27" s="8"/>
    </row>
    <row r="28" spans="1:3" x14ac:dyDescent="0.3">
      <c r="A28" s="127" t="s">
        <v>238</v>
      </c>
      <c r="B28" s="127"/>
      <c r="C28" s="127"/>
    </row>
    <row r="29" spans="1:3" x14ac:dyDescent="0.3">
      <c r="A29" s="127"/>
      <c r="B29" s="127"/>
      <c r="C29" s="127"/>
    </row>
    <row r="30" spans="1:3" x14ac:dyDescent="0.3">
      <c r="A30" s="3" t="s">
        <v>239</v>
      </c>
      <c r="B30" s="60" t="e">
        <f>REPOSIÇÃO!$B$21</f>
        <v>#DIV/0!</v>
      </c>
      <c r="C30" s="17" t="e">
        <f>($B$30*100)/$B$33</f>
        <v>#DIV/0!</v>
      </c>
    </row>
    <row r="31" spans="1:3" x14ac:dyDescent="0.3">
      <c r="A31" s="8" t="s">
        <v>230</v>
      </c>
      <c r="B31" s="69" t="e">
        <f>SUM(B30,B27,B23)</f>
        <v>#DIV/0!</v>
      </c>
      <c r="C31" s="12"/>
    </row>
    <row r="32" spans="1:3" ht="15" thickBot="1" x14ac:dyDescent="0.35"/>
    <row r="33" spans="1:3" ht="15" thickBot="1" x14ac:dyDescent="0.35">
      <c r="A33" s="28" t="s">
        <v>219</v>
      </c>
      <c r="B33" s="71" t="e">
        <f>SUM(B31,B15,B27,B23)</f>
        <v>#DIV/0!</v>
      </c>
      <c r="C33" s="70" t="e">
        <f>SUM(C30,C25:C26,C17:C22,C12:C14)</f>
        <v>#DIV/0!</v>
      </c>
    </row>
    <row r="34" spans="1:3" x14ac:dyDescent="0.3">
      <c r="A34" s="23"/>
      <c r="B34" s="23"/>
    </row>
  </sheetData>
  <sheetProtection algorithmName="SHA-512" hashValue="zuKa7cnDfn8s0FZBERMMF413tgGLl4SxzLljgnOXSp6IZ1qq7gpopJWkgOTYkmD47aMI0DwbD31vCR5v/Z915Q==" saltValue="BqUGStVO/N2CUlVGtCkbSg==" spinCount="100000" sheet="1" scenarios="1" formatCells="0" formatColumns="0" formatRows="0" insertColumns="0" insertRows="0" deleteColumns="0" deleteRows="0" sort="0" autoFilter="0"/>
  <mergeCells count="5">
    <mergeCell ref="A3:C3"/>
    <mergeCell ref="A9:C10"/>
    <mergeCell ref="A16:C16"/>
    <mergeCell ref="A24:C24"/>
    <mergeCell ref="A28:C29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9BF4-511A-4C86-BB45-5350B71F253B}">
  <dimension ref="A1:D25"/>
  <sheetViews>
    <sheetView showGridLines="0" showRowColHeaders="0" workbookViewId="0"/>
  </sheetViews>
  <sheetFormatPr defaultRowHeight="14.4" x14ac:dyDescent="0.3"/>
  <cols>
    <col min="1" max="1" width="17.5546875" customWidth="1"/>
    <col min="2" max="2" width="15.109375" customWidth="1"/>
    <col min="3" max="3" width="17.5546875" customWidth="1"/>
    <col min="4" max="4" width="16.77734375" customWidth="1"/>
  </cols>
  <sheetData>
    <row r="1" spans="1:4" ht="15.6" x14ac:dyDescent="0.3">
      <c r="A1" s="121" t="s">
        <v>240</v>
      </c>
    </row>
    <row r="3" spans="1:4" x14ac:dyDescent="0.3">
      <c r="A3" s="129" t="s">
        <v>241</v>
      </c>
      <c r="B3" s="129"/>
      <c r="C3" s="129"/>
      <c r="D3" s="129"/>
    </row>
    <row r="4" spans="1:4" x14ac:dyDescent="0.3">
      <c r="A4" s="79" t="s">
        <v>21</v>
      </c>
      <c r="B4" s="80" t="s">
        <v>242</v>
      </c>
      <c r="C4" s="80" t="s">
        <v>243</v>
      </c>
      <c r="D4" s="80" t="s">
        <v>149</v>
      </c>
    </row>
    <row r="5" spans="1:4" x14ac:dyDescent="0.3">
      <c r="A5" s="50" t="e">
        <f>REPOSIÇÃO!B11</f>
        <v>#DIV/0!</v>
      </c>
      <c r="B5" s="53">
        <f>REBANHO!G17</f>
        <v>0</v>
      </c>
      <c r="C5" s="102" t="e">
        <f>$B$5*$A$5*REBANHO!$B$22</f>
        <v>#DIV/0!</v>
      </c>
      <c r="D5" s="20" t="e">
        <f>$C$5*$B$6</f>
        <v>#DIV/0!</v>
      </c>
    </row>
    <row r="6" spans="1:4" x14ac:dyDescent="0.3">
      <c r="A6" s="3" t="s">
        <v>244</v>
      </c>
      <c r="B6" s="60">
        <v>0</v>
      </c>
      <c r="C6" s="3"/>
      <c r="D6" s="3"/>
    </row>
    <row r="7" spans="1:4" x14ac:dyDescent="0.3">
      <c r="A7" s="3"/>
      <c r="B7" s="3"/>
      <c r="C7" s="3"/>
      <c r="D7" s="3"/>
    </row>
    <row r="8" spans="1:4" x14ac:dyDescent="0.3">
      <c r="A8" s="79" t="s">
        <v>245</v>
      </c>
      <c r="B8" s="79"/>
      <c r="C8" s="79"/>
      <c r="D8" s="79"/>
    </row>
    <row r="9" spans="1:4" x14ac:dyDescent="0.3">
      <c r="A9" s="79" t="s">
        <v>21</v>
      </c>
      <c r="B9" s="80" t="s">
        <v>242</v>
      </c>
      <c r="C9" s="80" t="s">
        <v>243</v>
      </c>
      <c r="D9" s="80" t="s">
        <v>149</v>
      </c>
    </row>
    <row r="10" spans="1:4" x14ac:dyDescent="0.3">
      <c r="A10" s="50" t="e">
        <f>REPOSIÇÃO!$B$10</f>
        <v>#DIV/0!</v>
      </c>
      <c r="B10" s="53">
        <f>REBANHO!B11</f>
        <v>0</v>
      </c>
      <c r="C10" s="118" t="e">
        <f>$B$10*$A$10*REBANHO!$B$22</f>
        <v>#DIV/0!</v>
      </c>
      <c r="D10" s="81" t="e">
        <f>$C$10*$B$11</f>
        <v>#DIV/0!</v>
      </c>
    </row>
    <row r="11" spans="1:4" x14ac:dyDescent="0.3">
      <c r="A11" s="20" t="s">
        <v>244</v>
      </c>
      <c r="B11" s="20">
        <v>0</v>
      </c>
      <c r="C11" s="3"/>
      <c r="D11" s="3"/>
    </row>
    <row r="12" spans="1:4" x14ac:dyDescent="0.3">
      <c r="A12" s="3"/>
      <c r="B12" s="3"/>
      <c r="C12" s="3"/>
      <c r="D12" s="3"/>
    </row>
    <row r="13" spans="1:4" x14ac:dyDescent="0.3">
      <c r="A13" s="135" t="s">
        <v>246</v>
      </c>
      <c r="B13" s="135"/>
      <c r="C13" s="135"/>
      <c r="D13" s="135"/>
    </row>
    <row r="14" spans="1:4" x14ac:dyDescent="0.3">
      <c r="A14" s="79" t="s">
        <v>21</v>
      </c>
      <c r="B14" s="80" t="s">
        <v>242</v>
      </c>
      <c r="C14" s="80" t="s">
        <v>243</v>
      </c>
      <c r="D14" s="80" t="s">
        <v>149</v>
      </c>
    </row>
    <row r="15" spans="1:4" x14ac:dyDescent="0.3">
      <c r="A15" s="50" t="e">
        <f>REPOSIÇÃO!$B$12</f>
        <v>#DIV/0!</v>
      </c>
      <c r="B15" s="53">
        <f>REBANHO!B11</f>
        <v>0</v>
      </c>
      <c r="C15" s="118" t="e">
        <f>$B$15*$A$15*REBANHO!$B$22</f>
        <v>#DIV/0!</v>
      </c>
      <c r="D15" s="20" t="e">
        <f>$C$15*$B$16</f>
        <v>#DIV/0!</v>
      </c>
    </row>
    <row r="16" spans="1:4" x14ac:dyDescent="0.3">
      <c r="A16" s="20" t="s">
        <v>244</v>
      </c>
      <c r="B16" s="81">
        <v>0</v>
      </c>
    </row>
    <row r="18" spans="1:3" x14ac:dyDescent="0.3">
      <c r="A18" s="129" t="s">
        <v>247</v>
      </c>
      <c r="B18" s="129"/>
      <c r="C18" s="129"/>
    </row>
    <row r="19" spans="1:3" x14ac:dyDescent="0.3">
      <c r="A19" s="79" t="s">
        <v>21</v>
      </c>
      <c r="B19" s="66" t="s">
        <v>248</v>
      </c>
      <c r="C19" s="66" t="s">
        <v>149</v>
      </c>
    </row>
    <row r="20" spans="1:3" x14ac:dyDescent="0.3">
      <c r="A20" s="50" t="e">
        <f>SUM(A15,A10)</f>
        <v>#DIV/0!</v>
      </c>
      <c r="B20" s="53">
        <v>0</v>
      </c>
      <c r="C20" s="20" t="e">
        <f>$B$20*$A$20*$B$21</f>
        <v>#DIV/0!</v>
      </c>
    </row>
    <row r="21" spans="1:3" x14ac:dyDescent="0.3">
      <c r="A21" s="20" t="s">
        <v>249</v>
      </c>
      <c r="B21" s="81">
        <v>0</v>
      </c>
      <c r="C21" s="3"/>
    </row>
    <row r="22" spans="1:3" x14ac:dyDescent="0.3">
      <c r="A22" s="3"/>
      <c r="B22" s="3"/>
      <c r="C22" s="3"/>
    </row>
    <row r="23" spans="1:3" x14ac:dyDescent="0.3">
      <c r="A23" s="79" t="s">
        <v>250</v>
      </c>
      <c r="B23" s="79"/>
      <c r="C23" s="79"/>
    </row>
    <row r="24" spans="1:3" x14ac:dyDescent="0.3">
      <c r="A24" s="79" t="s">
        <v>251</v>
      </c>
      <c r="B24" s="80" t="s">
        <v>252</v>
      </c>
      <c r="C24" s="80" t="s">
        <v>253</v>
      </c>
    </row>
    <row r="25" spans="1:3" x14ac:dyDescent="0.3">
      <c r="A25" s="81" t="e">
        <f>SUM(C20,D15,D10,D5)</f>
        <v>#DIV/0!</v>
      </c>
      <c r="B25" s="81" t="e">
        <f>'CUSTO TOTAL'!$B$31</f>
        <v>#DIV/0!</v>
      </c>
      <c r="C25" s="81" t="e">
        <f>$A$25-$B$25</f>
        <v>#DIV/0!</v>
      </c>
    </row>
  </sheetData>
  <sheetProtection algorithmName="SHA-512" hashValue="6c/VBZxfN/lxGzk5xxn75OqL6ggCULAOY1OWhl07BeAWBCNsUnSFXTGxxRgUpc0gRxb6dOIfaYzDTCCCbV5MYQ==" saltValue="YkDzYNplTvCcvS6RXQz6Sw==" spinCount="100000" sheet="1" scenarios="1" formatCells="0" formatColumns="0" formatRows="0" insertColumns="0" insertRows="0" insertHyperlinks="0" deleteColumns="0" deleteRows="0" autoFilter="0"/>
  <mergeCells count="3">
    <mergeCell ref="A3:D3"/>
    <mergeCell ref="A13:D13"/>
    <mergeCell ref="A18:C1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63B12-4093-4649-B518-C19677886329}">
  <dimension ref="A1:B12"/>
  <sheetViews>
    <sheetView showGridLines="0" showRowColHeaders="0" workbookViewId="0">
      <selection activeCell="E9" sqref="E9"/>
    </sheetView>
  </sheetViews>
  <sheetFormatPr defaultRowHeight="14.4" x14ac:dyDescent="0.3"/>
  <cols>
    <col min="1" max="1" width="18.109375" customWidth="1"/>
    <col min="2" max="2" width="13.5546875" customWidth="1"/>
  </cols>
  <sheetData>
    <row r="1" spans="1:2" ht="15.6" x14ac:dyDescent="0.3">
      <c r="A1" s="121" t="s">
        <v>254</v>
      </c>
    </row>
    <row r="3" spans="1:2" x14ac:dyDescent="0.3">
      <c r="A3" s="129" t="s">
        <v>255</v>
      </c>
      <c r="B3" s="129"/>
    </row>
    <row r="4" spans="1:2" x14ac:dyDescent="0.3">
      <c r="A4" s="81" t="e">
        <f>-'CUSTO TOTAL'!$B$8</f>
        <v>#DIV/0!</v>
      </c>
      <c r="B4" s="20"/>
    </row>
    <row r="5" spans="1:2" x14ac:dyDescent="0.3">
      <c r="A5" s="81" t="e">
        <f>RECEITA!$A$25</f>
        <v>#DIV/0!</v>
      </c>
      <c r="B5" s="20"/>
    </row>
    <row r="6" spans="1:2" x14ac:dyDescent="0.3">
      <c r="A6" s="81" t="e">
        <f>$A$5</f>
        <v>#DIV/0!</v>
      </c>
      <c r="B6" s="20"/>
    </row>
    <row r="7" spans="1:2" x14ac:dyDescent="0.3">
      <c r="A7" s="81" t="e">
        <f>$A$5</f>
        <v>#DIV/0!</v>
      </c>
      <c r="B7" s="20"/>
    </row>
    <row r="8" spans="1:2" x14ac:dyDescent="0.3">
      <c r="A8" s="81" t="e">
        <f>$A$5</f>
        <v>#DIV/0!</v>
      </c>
      <c r="B8" s="20"/>
    </row>
    <row r="9" spans="1:2" ht="15" thickBot="1" x14ac:dyDescent="0.35">
      <c r="A9" s="54"/>
      <c r="B9" s="20"/>
    </row>
    <row r="10" spans="1:2" ht="15" thickBot="1" x14ac:dyDescent="0.35">
      <c r="A10" s="8" t="s">
        <v>257</v>
      </c>
      <c r="B10" s="119" t="e">
        <f>IRR($A$4:$A$8,0.1)</f>
        <v>#VALUE!</v>
      </c>
    </row>
    <row r="11" spans="1:2" ht="15" thickBot="1" x14ac:dyDescent="0.35">
      <c r="A11" s="28" t="s">
        <v>258</v>
      </c>
      <c r="B11" s="120" t="e">
        <f>NPV(0.1,$A$5:$A$8)</f>
        <v>#DIV/0!</v>
      </c>
    </row>
    <row r="12" spans="1:2" x14ac:dyDescent="0.3">
      <c r="A12" s="37"/>
      <c r="B12" s="3"/>
    </row>
  </sheetData>
  <sheetProtection algorithmName="SHA-512" hashValue="DclmLRuB9AGCcQ2LRW9RnqJvEf6/SPCjf9OkULRQe5hVMCBkeY+a14NU+lWxE82yurbUU7YW1HrBqaJ2TsxxKQ==" saltValue="9JrUs6ZhW9Rll4gp+TixXQ==" spinCount="100000" sheet="1" scenarios="1" formatCells="0" formatColumns="0" formatRows="0" insertColumns="0" insertRows="0" insertHyperlinks="0" deleteColumns="0" deleteRows="0" autoFilter="0"/>
  <mergeCells count="1">
    <mergeCell ref="A3:B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9332-7185-4BA8-8AB9-41646FA6A062}">
  <dimension ref="A1:G26"/>
  <sheetViews>
    <sheetView showGridLines="0" topLeftCell="A4" workbookViewId="0">
      <selection activeCell="A26" sqref="A26"/>
    </sheetView>
  </sheetViews>
  <sheetFormatPr defaultRowHeight="14.4" x14ac:dyDescent="0.3"/>
  <cols>
    <col min="1" max="1" width="29.21875" customWidth="1"/>
    <col min="2" max="2" width="22.6640625" customWidth="1"/>
    <col min="3" max="3" width="20.109375" customWidth="1"/>
    <col min="4" max="4" width="20.5546875" customWidth="1"/>
    <col min="6" max="6" width="31.88671875" customWidth="1"/>
    <col min="7" max="7" width="18" customWidth="1"/>
  </cols>
  <sheetData>
    <row r="1" spans="1:7" ht="15.6" x14ac:dyDescent="0.3">
      <c r="A1" s="121" t="s">
        <v>0</v>
      </c>
    </row>
    <row r="2" spans="1:7" ht="15" thickBot="1" x14ac:dyDescent="0.35"/>
    <row r="3" spans="1:7" ht="15" thickBot="1" x14ac:dyDescent="0.35">
      <c r="A3" s="125" t="s">
        <v>1</v>
      </c>
      <c r="B3" s="125"/>
      <c r="F3" s="126" t="s">
        <v>20</v>
      </c>
      <c r="G3" s="126"/>
    </row>
    <row r="4" spans="1:7" ht="15" thickBot="1" x14ac:dyDescent="0.35">
      <c r="A4" s="20" t="s">
        <v>2</v>
      </c>
      <c r="B4" s="22">
        <v>0</v>
      </c>
      <c r="F4" s="44"/>
      <c r="G4" s="43" t="s">
        <v>21</v>
      </c>
    </row>
    <row r="5" spans="1:7" ht="29.4" thickBot="1" x14ac:dyDescent="0.35">
      <c r="A5" s="24" t="s">
        <v>3</v>
      </c>
      <c r="B5" s="38">
        <v>0</v>
      </c>
      <c r="F5" s="4" t="s">
        <v>22</v>
      </c>
      <c r="G5" s="46" t="e">
        <f>$B$10</f>
        <v>#DIV/0!</v>
      </c>
    </row>
    <row r="6" spans="1:7" ht="15" thickBot="1" x14ac:dyDescent="0.35">
      <c r="B6" s="23"/>
      <c r="F6" s="13" t="s">
        <v>23</v>
      </c>
      <c r="G6" s="47" t="e">
        <f>$G$5*$B$18</f>
        <v>#DIV/0!</v>
      </c>
    </row>
    <row r="7" spans="1:7" ht="15" thickBot="1" x14ac:dyDescent="0.35">
      <c r="A7" s="125" t="s">
        <v>4</v>
      </c>
      <c r="B7" s="125"/>
      <c r="C7" s="125"/>
      <c r="D7" s="125"/>
      <c r="F7" s="13" t="s">
        <v>35</v>
      </c>
      <c r="G7" s="47" t="e">
        <f>$G$6*$B$20</f>
        <v>#DIV/0!</v>
      </c>
    </row>
    <row r="8" spans="1:7" ht="15" thickBot="1" x14ac:dyDescent="0.35">
      <c r="A8" s="39"/>
      <c r="B8" s="40" t="s">
        <v>10</v>
      </c>
      <c r="C8" s="40" t="s">
        <v>11</v>
      </c>
      <c r="D8" s="41" t="s">
        <v>12</v>
      </c>
      <c r="F8" s="15" t="s">
        <v>36</v>
      </c>
      <c r="G8" s="47" t="e">
        <f>$G$6*$B$21</f>
        <v>#DIV/0!</v>
      </c>
    </row>
    <row r="9" spans="1:7" x14ac:dyDescent="0.3">
      <c r="A9" s="26" t="s">
        <v>25</v>
      </c>
      <c r="B9" s="27">
        <v>0</v>
      </c>
      <c r="C9" s="26"/>
      <c r="D9" s="1"/>
      <c r="F9" s="16" t="s">
        <v>34</v>
      </c>
      <c r="G9" s="48" t="e">
        <f>$G$12/2</f>
        <v>#DIV/0!</v>
      </c>
    </row>
    <row r="10" spans="1:7" x14ac:dyDescent="0.3">
      <c r="A10" s="3" t="s">
        <v>5</v>
      </c>
      <c r="B10" s="47" t="e">
        <f>$B$5/$B$9</f>
        <v>#DIV/0!</v>
      </c>
      <c r="C10" s="7"/>
      <c r="D10" s="56" t="e">
        <f>$C$10*$B$10</f>
        <v>#DIV/0!</v>
      </c>
      <c r="F10" s="4" t="s">
        <v>37</v>
      </c>
      <c r="G10" s="47" t="e">
        <f>$G$9</f>
        <v>#DIV/0!</v>
      </c>
    </row>
    <row r="11" spans="1:7" ht="29.4" thickBot="1" x14ac:dyDescent="0.35">
      <c r="A11" s="3" t="s">
        <v>6</v>
      </c>
      <c r="B11" s="11">
        <v>0</v>
      </c>
      <c r="C11" s="7"/>
      <c r="D11" s="5"/>
      <c r="F11" s="16" t="s">
        <v>38</v>
      </c>
      <c r="G11" s="47" t="e">
        <f>$G$7+($G$8*2)</f>
        <v>#DIV/0!</v>
      </c>
    </row>
    <row r="12" spans="1:7" ht="29.4" thickBot="1" x14ac:dyDescent="0.35">
      <c r="A12" s="4" t="s">
        <v>7</v>
      </c>
      <c r="B12" s="47" t="e">
        <f>$B$10*0.025</f>
        <v>#DIV/0!</v>
      </c>
      <c r="C12" s="7"/>
      <c r="D12" s="56" t="e">
        <f>$C$12*$B$12</f>
        <v>#DIV/0!</v>
      </c>
      <c r="F12" s="45" t="s">
        <v>39</v>
      </c>
      <c r="G12" s="32" t="e">
        <f>$G$11-($G$11*$B$19)</f>
        <v>#DIV/0!</v>
      </c>
    </row>
    <row r="13" spans="1:7" ht="15" thickBot="1" x14ac:dyDescent="0.35">
      <c r="A13" s="3" t="s">
        <v>8</v>
      </c>
      <c r="B13" s="11">
        <v>0</v>
      </c>
      <c r="C13" s="5"/>
      <c r="D13" s="29"/>
      <c r="F13" s="127" t="s">
        <v>26</v>
      </c>
      <c r="G13" s="127"/>
    </row>
    <row r="14" spans="1:7" ht="15" thickBot="1" x14ac:dyDescent="0.35">
      <c r="A14" s="33" t="s">
        <v>9</v>
      </c>
      <c r="B14" s="32" t="e">
        <f>SUM(B10,B12)</f>
        <v>#DIV/0!</v>
      </c>
      <c r="C14" s="31"/>
      <c r="D14" s="30" t="e">
        <f>SUM(D10,D12)</f>
        <v>#DIV/0!</v>
      </c>
      <c r="F14" s="128"/>
      <c r="G14" s="128"/>
    </row>
    <row r="15" spans="1:7" ht="15" thickBot="1" x14ac:dyDescent="0.35">
      <c r="F15" s="3" t="s">
        <v>28</v>
      </c>
      <c r="G15" s="14">
        <v>0</v>
      </c>
    </row>
    <row r="16" spans="1:7" ht="15" thickBot="1" x14ac:dyDescent="0.35">
      <c r="A16" s="126" t="s">
        <v>13</v>
      </c>
      <c r="B16" s="126"/>
      <c r="D16" s="1"/>
      <c r="F16" s="3" t="s">
        <v>29</v>
      </c>
      <c r="G16" s="14">
        <v>0</v>
      </c>
    </row>
    <row r="17" spans="1:7" ht="15" thickBot="1" x14ac:dyDescent="0.35">
      <c r="A17" s="42"/>
      <c r="B17" s="43" t="s">
        <v>14</v>
      </c>
      <c r="D17" s="1"/>
      <c r="F17" s="3" t="s">
        <v>30</v>
      </c>
      <c r="G17" s="14">
        <v>0</v>
      </c>
    </row>
    <row r="18" spans="1:7" x14ac:dyDescent="0.3">
      <c r="A18" s="20" t="s">
        <v>15</v>
      </c>
      <c r="B18" s="52">
        <v>0.95</v>
      </c>
      <c r="F18" s="3" t="s">
        <v>31</v>
      </c>
      <c r="G18" s="49">
        <f>$G$17-$G$16</f>
        <v>0</v>
      </c>
    </row>
    <row r="19" spans="1:7" x14ac:dyDescent="0.3">
      <c r="A19" s="20" t="s">
        <v>16</v>
      </c>
      <c r="B19" s="53">
        <v>0.08</v>
      </c>
      <c r="F19" s="3" t="s">
        <v>27</v>
      </c>
      <c r="G19" s="18">
        <v>0</v>
      </c>
    </row>
    <row r="20" spans="1:7" x14ac:dyDescent="0.3">
      <c r="A20" s="20" t="s">
        <v>17</v>
      </c>
      <c r="B20" s="53">
        <v>0.7</v>
      </c>
      <c r="F20" s="3" t="s">
        <v>24</v>
      </c>
      <c r="G20" s="50" t="e">
        <f>$G$18/$G$19</f>
        <v>#DIV/0!</v>
      </c>
    </row>
    <row r="21" spans="1:7" ht="15" thickBot="1" x14ac:dyDescent="0.35">
      <c r="A21" s="20" t="s">
        <v>18</v>
      </c>
      <c r="B21" s="53">
        <v>0.3</v>
      </c>
      <c r="F21" s="3" t="s">
        <v>32</v>
      </c>
      <c r="G21" s="51" t="e">
        <f>$G$12/$G$6</f>
        <v>#DIV/0!</v>
      </c>
    </row>
    <row r="22" spans="1:7" ht="15" thickBot="1" x14ac:dyDescent="0.35">
      <c r="A22" s="54" t="s">
        <v>19</v>
      </c>
      <c r="B22" s="55">
        <v>0.5</v>
      </c>
      <c r="F22" s="28" t="s">
        <v>33</v>
      </c>
      <c r="G22" s="32" t="e">
        <f>SUM(G12,B14)</f>
        <v>#DIV/0!</v>
      </c>
    </row>
    <row r="23" spans="1:7" x14ac:dyDescent="0.3">
      <c r="A23" s="3"/>
      <c r="B23" s="3"/>
      <c r="F23" s="23"/>
    </row>
    <row r="25" spans="1:7" x14ac:dyDescent="0.3">
      <c r="A25" s="147"/>
    </row>
    <row r="26" spans="1:7" x14ac:dyDescent="0.3">
      <c r="A26" s="123" t="s">
        <v>259</v>
      </c>
    </row>
  </sheetData>
  <sheetProtection formatCells="0" formatColumns="0" formatRows="0" insertColumns="0" insertRows="0" deleteColumns="0" deleteRows="0"/>
  <mergeCells count="5">
    <mergeCell ref="A3:B3"/>
    <mergeCell ref="A7:D7"/>
    <mergeCell ref="A16:B16"/>
    <mergeCell ref="F3:G3"/>
    <mergeCell ref="F13:G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31EF-1A00-47D8-BA4B-D75C5B389068}">
  <dimension ref="A1:I21"/>
  <sheetViews>
    <sheetView showGridLines="0" showRowColHeaders="0" workbookViewId="0"/>
  </sheetViews>
  <sheetFormatPr defaultRowHeight="14.4" x14ac:dyDescent="0.3"/>
  <cols>
    <col min="1" max="1" width="30.44140625" customWidth="1"/>
    <col min="2" max="2" width="17.77734375" customWidth="1"/>
    <col min="4" max="4" width="29.33203125" customWidth="1"/>
    <col min="5" max="5" width="14.33203125" customWidth="1"/>
    <col min="6" max="6" width="19.5546875" customWidth="1"/>
    <col min="7" max="7" width="19.44140625" customWidth="1"/>
    <col min="8" max="8" width="20.33203125" customWidth="1"/>
  </cols>
  <sheetData>
    <row r="1" spans="1:9" ht="15.6" x14ac:dyDescent="0.3">
      <c r="A1" s="121" t="s">
        <v>40</v>
      </c>
    </row>
    <row r="3" spans="1:9" x14ac:dyDescent="0.3">
      <c r="A3" s="129" t="s">
        <v>41</v>
      </c>
      <c r="B3" s="129"/>
      <c r="D3" s="129" t="s">
        <v>52</v>
      </c>
      <c r="E3" s="129"/>
      <c r="F3" s="129"/>
      <c r="G3" s="129"/>
      <c r="H3" s="129"/>
      <c r="I3" s="3"/>
    </row>
    <row r="4" spans="1:9" ht="28.8" x14ac:dyDescent="0.3">
      <c r="A4" s="65"/>
      <c r="B4" s="66" t="s">
        <v>42</v>
      </c>
      <c r="D4" s="65" t="s">
        <v>53</v>
      </c>
      <c r="E4" s="66" t="s">
        <v>54</v>
      </c>
      <c r="F4" s="66" t="s">
        <v>11</v>
      </c>
      <c r="G4" s="66" t="s">
        <v>12</v>
      </c>
      <c r="H4" s="67" t="s">
        <v>56</v>
      </c>
      <c r="I4" s="3"/>
    </row>
    <row r="5" spans="1:9" x14ac:dyDescent="0.3">
      <c r="A5" s="3" t="s">
        <v>47</v>
      </c>
      <c r="B5" s="57" t="e">
        <f>(REBANHO!$B$12*2)</f>
        <v>#DIV/0!</v>
      </c>
      <c r="D5" s="3" t="s">
        <v>57</v>
      </c>
      <c r="E5" s="2"/>
      <c r="F5" s="60"/>
      <c r="G5" s="60"/>
      <c r="H5" s="3"/>
    </row>
    <row r="6" spans="1:9" x14ac:dyDescent="0.3">
      <c r="A6" s="3" t="s">
        <v>48</v>
      </c>
      <c r="B6" s="57" t="e">
        <f>(REBANHO!$G$11/4*0.5*0.5)+(((REBANHO!$G$11/4*0.5)*0.1))</f>
        <v>#DIV/0!</v>
      </c>
      <c r="D6" s="3" t="s">
        <v>58</v>
      </c>
      <c r="E6" s="2"/>
      <c r="F6" s="60"/>
      <c r="G6" s="60"/>
      <c r="H6" s="3"/>
    </row>
    <row r="7" spans="1:9" x14ac:dyDescent="0.3">
      <c r="A7" s="3" t="s">
        <v>45</v>
      </c>
      <c r="B7" s="2">
        <v>0</v>
      </c>
      <c r="D7" s="3" t="s">
        <v>59</v>
      </c>
      <c r="E7" s="57"/>
      <c r="F7" s="60"/>
      <c r="G7" s="60"/>
      <c r="H7" s="3"/>
    </row>
    <row r="8" spans="1:9" x14ac:dyDescent="0.3">
      <c r="A8" s="3" t="s">
        <v>46</v>
      </c>
      <c r="B8" s="2">
        <f>$B$7*4</f>
        <v>0</v>
      </c>
      <c r="D8" s="3" t="s">
        <v>60</v>
      </c>
      <c r="E8" s="2"/>
      <c r="F8" s="60"/>
      <c r="G8" s="60"/>
      <c r="H8" s="3"/>
    </row>
    <row r="9" spans="1:9" x14ac:dyDescent="0.3">
      <c r="A9" s="3" t="s">
        <v>50</v>
      </c>
      <c r="B9" s="57" t="e">
        <f>(REBANHO!$G$11/4*0.25)+((REBANHO!$G$11/4*0.25)*0.1)</f>
        <v>#DIV/0!</v>
      </c>
      <c r="D9" s="3" t="s">
        <v>61</v>
      </c>
      <c r="E9" s="2"/>
      <c r="F9" s="60"/>
      <c r="G9" s="60"/>
      <c r="H9" s="3"/>
    </row>
    <row r="10" spans="1:9" ht="15" thickBot="1" x14ac:dyDescent="0.35">
      <c r="A10" s="3" t="s">
        <v>49</v>
      </c>
      <c r="B10" s="57" t="e">
        <f>REBANHO!$B$12*0.25</f>
        <v>#DIV/0!</v>
      </c>
      <c r="D10" s="3" t="s">
        <v>62</v>
      </c>
      <c r="E10" s="2"/>
      <c r="F10" s="60"/>
      <c r="G10" s="60"/>
      <c r="H10" s="3"/>
    </row>
    <row r="11" spans="1:9" ht="15" thickBot="1" x14ac:dyDescent="0.35">
      <c r="A11" s="33" t="s">
        <v>51</v>
      </c>
      <c r="B11" s="70" t="e">
        <f>SUM(B9,B10)</f>
        <v>#DIV/0!</v>
      </c>
      <c r="D11" s="3" t="s">
        <v>63</v>
      </c>
      <c r="E11" s="2"/>
      <c r="F11" s="60"/>
      <c r="G11" s="60"/>
      <c r="H11" s="3"/>
    </row>
    <row r="12" spans="1:9" x14ac:dyDescent="0.3">
      <c r="A12" s="23"/>
      <c r="B12" s="23"/>
      <c r="D12" s="3" t="s">
        <v>64</v>
      </c>
      <c r="E12" s="2"/>
      <c r="F12" s="60"/>
      <c r="G12" s="60"/>
      <c r="H12" s="3"/>
    </row>
    <row r="13" spans="1:9" x14ac:dyDescent="0.3">
      <c r="D13" s="3" t="s">
        <v>65</v>
      </c>
      <c r="E13" s="57"/>
      <c r="F13" s="60"/>
      <c r="G13" s="60"/>
      <c r="H13" s="3"/>
    </row>
    <row r="14" spans="1:9" x14ac:dyDescent="0.3">
      <c r="D14" s="3" t="s">
        <v>66</v>
      </c>
      <c r="E14" s="57"/>
      <c r="F14" s="60"/>
      <c r="G14" s="60"/>
      <c r="H14" s="3"/>
    </row>
    <row r="15" spans="1:9" x14ac:dyDescent="0.3">
      <c r="D15" s="3" t="s">
        <v>67</v>
      </c>
      <c r="E15" s="57"/>
      <c r="F15" s="60"/>
      <c r="G15" s="60"/>
      <c r="H15" s="3"/>
    </row>
    <row r="16" spans="1:9" ht="15" thickBot="1" x14ac:dyDescent="0.35">
      <c r="D16" s="35" t="s">
        <v>68</v>
      </c>
      <c r="E16" s="36"/>
      <c r="F16" s="60"/>
      <c r="G16" s="72"/>
      <c r="H16" s="3"/>
    </row>
    <row r="17" spans="4:8" ht="15" thickBot="1" x14ac:dyDescent="0.35">
      <c r="D17" s="33" t="s">
        <v>9</v>
      </c>
      <c r="E17" s="8"/>
      <c r="F17" s="28"/>
      <c r="G17" s="69">
        <f>SUM(G5:G16)</f>
        <v>0</v>
      </c>
      <c r="H17" s="71">
        <f>(G17-(G17*$E$21))/$E$20</f>
        <v>0</v>
      </c>
    </row>
    <row r="18" spans="4:8" x14ac:dyDescent="0.3">
      <c r="E18" s="23"/>
      <c r="F18" s="23"/>
      <c r="G18" s="23"/>
      <c r="H18" s="23"/>
    </row>
    <row r="19" spans="4:8" x14ac:dyDescent="0.3">
      <c r="D19" s="130" t="s">
        <v>69</v>
      </c>
      <c r="E19" s="130"/>
    </row>
    <row r="20" spans="4:8" x14ac:dyDescent="0.3">
      <c r="D20" s="62" t="s">
        <v>70</v>
      </c>
      <c r="E20" s="62">
        <v>25</v>
      </c>
    </row>
    <row r="21" spans="4:8" x14ac:dyDescent="0.3">
      <c r="D21" s="62" t="s">
        <v>71</v>
      </c>
      <c r="E21" s="63">
        <v>0.2</v>
      </c>
    </row>
  </sheetData>
  <sheetProtection algorithmName="SHA-512" hashValue="1egzh8f+SUqRTju6pfz1+4B9QcvUqL20GIr0KJnN57SgI97Ba8fxOMb8yRi+9Tug0zco3r9mKSX6HSy3/AbkBg==" saltValue="kq/XxfJJtD3cN1WeN4o/OA==" spinCount="100000" sheet="1" scenarios="1" formatCells="0" formatColumns="0" formatRows="0" deleteColumns="0" deleteRows="0"/>
  <mergeCells count="3">
    <mergeCell ref="A3:B3"/>
    <mergeCell ref="D19:E19"/>
    <mergeCell ref="D3:H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2595-787F-4B6A-8B9C-DB121F3960A2}">
  <dimension ref="A1:I39"/>
  <sheetViews>
    <sheetView showGridLines="0" showRowColHeaders="0" workbookViewId="0">
      <selection activeCell="B17" sqref="B17"/>
    </sheetView>
  </sheetViews>
  <sheetFormatPr defaultRowHeight="14.4" x14ac:dyDescent="0.3"/>
  <cols>
    <col min="1" max="1" width="30.6640625" customWidth="1"/>
    <col min="2" max="2" width="15.109375" customWidth="1"/>
    <col min="3" max="3" width="21.5546875" customWidth="1"/>
    <col min="4" max="4" width="19.88671875" customWidth="1"/>
    <col min="6" max="6" width="29.44140625" customWidth="1"/>
    <col min="7" max="7" width="17.77734375" customWidth="1"/>
    <col min="8" max="8" width="19.77734375" customWidth="1"/>
    <col min="9" max="9" width="21.109375" customWidth="1"/>
  </cols>
  <sheetData>
    <row r="1" spans="1:9" ht="15.6" x14ac:dyDescent="0.3">
      <c r="A1" s="121" t="s">
        <v>72</v>
      </c>
    </row>
    <row r="3" spans="1:9" x14ac:dyDescent="0.3">
      <c r="A3" s="129" t="s">
        <v>73</v>
      </c>
      <c r="B3" s="129"/>
      <c r="C3" s="129"/>
      <c r="D3" s="129"/>
      <c r="F3" s="129" t="s">
        <v>86</v>
      </c>
      <c r="G3" s="129"/>
      <c r="H3" s="129"/>
      <c r="I3" s="129"/>
    </row>
    <row r="4" spans="1:9" x14ac:dyDescent="0.3">
      <c r="A4" s="79" t="s">
        <v>74</v>
      </c>
      <c r="B4" s="80" t="s">
        <v>54</v>
      </c>
      <c r="C4" s="80" t="s">
        <v>11</v>
      </c>
      <c r="D4" s="80" t="s">
        <v>75</v>
      </c>
      <c r="F4" s="64" t="s">
        <v>87</v>
      </c>
      <c r="G4" s="80" t="s">
        <v>54</v>
      </c>
      <c r="H4" s="80" t="s">
        <v>12</v>
      </c>
      <c r="I4" s="80" t="s">
        <v>75</v>
      </c>
    </row>
    <row r="5" spans="1:9" x14ac:dyDescent="0.3">
      <c r="A5" s="3" t="s">
        <v>76</v>
      </c>
      <c r="B5" s="2"/>
      <c r="C5" s="60"/>
      <c r="D5" s="81">
        <f>(C5-(C5*C14))/B14</f>
        <v>0</v>
      </c>
      <c r="F5" s="3" t="s">
        <v>88</v>
      </c>
      <c r="G5" s="2"/>
      <c r="H5" s="60"/>
      <c r="I5" s="60"/>
    </row>
    <row r="6" spans="1:9" ht="28.8" x14ac:dyDescent="0.3">
      <c r="A6" s="13" t="s">
        <v>77</v>
      </c>
      <c r="B6" s="11"/>
      <c r="C6" s="7"/>
      <c r="D6" s="56">
        <f>(C6-(C6*C15))/B15</f>
        <v>0</v>
      </c>
      <c r="E6" s="1"/>
      <c r="F6" s="4" t="s">
        <v>43</v>
      </c>
      <c r="G6" s="17" t="e">
        <f>INVENTÁRIO!$B$5</f>
        <v>#DIV/0!</v>
      </c>
      <c r="H6" s="4" t="e">
        <f>$B$19*$G$6</f>
        <v>#DIV/0!</v>
      </c>
      <c r="I6" s="7" t="e">
        <f>($H$6-($H$6*$H$38))/$G$38</f>
        <v>#DIV/0!</v>
      </c>
    </row>
    <row r="7" spans="1:9" ht="15" thickBot="1" x14ac:dyDescent="0.35">
      <c r="A7" s="3" t="s">
        <v>78</v>
      </c>
      <c r="B7" s="2"/>
      <c r="C7" s="60"/>
      <c r="D7" s="81">
        <f>(C7-(C7*C16))/B16</f>
        <v>0</v>
      </c>
      <c r="F7" s="3" t="s">
        <v>44</v>
      </c>
      <c r="G7" s="90" t="e">
        <f>INVENTÁRIO!$B$6</f>
        <v>#DIV/0!</v>
      </c>
      <c r="H7" s="35" t="e">
        <f>$B$19*$G$7</f>
        <v>#DIV/0!</v>
      </c>
      <c r="I7" s="60" t="e">
        <f>($H$7-($H$7*$H$39))/$G$39</f>
        <v>#DIV/0!</v>
      </c>
    </row>
    <row r="8" spans="1:9" ht="15" thickBot="1" x14ac:dyDescent="0.35">
      <c r="A8" s="3" t="s">
        <v>79</v>
      </c>
      <c r="B8" s="2"/>
      <c r="C8" s="60"/>
      <c r="D8" s="81">
        <f>(C8-(C8*C17))/B17</f>
        <v>0</v>
      </c>
      <c r="F8" s="28" t="s">
        <v>89</v>
      </c>
      <c r="G8" s="68" t="e">
        <f>SUM(G6:G7)</f>
        <v>#DIV/0!</v>
      </c>
      <c r="H8" s="69" t="e">
        <f>SUM(H6:H7)</f>
        <v>#DIV/0!</v>
      </c>
      <c r="I8" s="71" t="e">
        <f>SUM(I6:I7)</f>
        <v>#DIV/0!</v>
      </c>
    </row>
    <row r="9" spans="1:9" ht="15" thickBot="1" x14ac:dyDescent="0.35">
      <c r="A9" s="35" t="s">
        <v>80</v>
      </c>
      <c r="B9" s="36"/>
      <c r="C9" s="72"/>
      <c r="D9" s="83">
        <f>(C9-(C9*C18))/B18</f>
        <v>0</v>
      </c>
      <c r="F9" s="132" t="s">
        <v>90</v>
      </c>
      <c r="G9" s="132"/>
      <c r="H9" s="132"/>
      <c r="I9" s="132"/>
    </row>
    <row r="10" spans="1:9" ht="15" thickBot="1" x14ac:dyDescent="0.35">
      <c r="A10" s="33" t="s">
        <v>9</v>
      </c>
      <c r="B10" s="8"/>
      <c r="C10" s="82">
        <f>SUM(C5:C9)</f>
        <v>0</v>
      </c>
      <c r="D10" s="82">
        <f>SUM(D5:D9)</f>
        <v>0</v>
      </c>
      <c r="F10" s="127"/>
      <c r="G10" s="127"/>
      <c r="H10" s="127"/>
      <c r="I10" s="127"/>
    </row>
    <row r="11" spans="1:9" x14ac:dyDescent="0.3">
      <c r="B11" s="23"/>
      <c r="F11" s="37" t="s">
        <v>57</v>
      </c>
      <c r="G11" s="34">
        <f>INVENTÁRIO!E5</f>
        <v>0</v>
      </c>
      <c r="H11" s="91">
        <f>INVENTÁRIO!G5</f>
        <v>0</v>
      </c>
      <c r="I11" s="23"/>
    </row>
    <row r="12" spans="1:9" x14ac:dyDescent="0.3">
      <c r="A12" s="130" t="s">
        <v>81</v>
      </c>
      <c r="B12" s="130"/>
      <c r="C12" s="130"/>
      <c r="F12" s="3" t="s">
        <v>91</v>
      </c>
      <c r="G12" s="2">
        <f>INVENTÁRIO!E6</f>
        <v>0</v>
      </c>
      <c r="H12" s="7">
        <f>INVENTÁRIO!G6</f>
        <v>0</v>
      </c>
    </row>
    <row r="13" spans="1:9" x14ac:dyDescent="0.3">
      <c r="A13" s="75" t="s">
        <v>82</v>
      </c>
      <c r="B13" s="61" t="s">
        <v>83</v>
      </c>
      <c r="C13" s="61" t="s">
        <v>84</v>
      </c>
      <c r="F13" s="3" t="s">
        <v>59</v>
      </c>
      <c r="G13" s="57">
        <f>INVENTÁRIO!E7</f>
        <v>0</v>
      </c>
      <c r="H13" s="7">
        <f>INVENTÁRIO!G7</f>
        <v>0</v>
      </c>
    </row>
    <row r="14" spans="1:9" x14ac:dyDescent="0.3">
      <c r="A14" s="62" t="s">
        <v>76</v>
      </c>
      <c r="B14" s="76">
        <v>10</v>
      </c>
      <c r="C14" s="77">
        <v>0.05</v>
      </c>
      <c r="F14" s="3" t="s">
        <v>60</v>
      </c>
      <c r="G14" s="2">
        <f>INVENTÁRIO!E8</f>
        <v>0</v>
      </c>
      <c r="H14" s="7">
        <f>INVENTÁRIO!G8</f>
        <v>0</v>
      </c>
    </row>
    <row r="15" spans="1:9" ht="28.8" x14ac:dyDescent="0.3">
      <c r="A15" s="78" t="s">
        <v>77</v>
      </c>
      <c r="B15" s="76">
        <v>15</v>
      </c>
      <c r="C15" s="77">
        <v>0.05</v>
      </c>
      <c r="F15" s="4" t="s">
        <v>61</v>
      </c>
      <c r="G15" s="2">
        <f>INVENTÁRIO!E9</f>
        <v>0</v>
      </c>
      <c r="H15" s="7">
        <f>INVENTÁRIO!G9</f>
        <v>0</v>
      </c>
    </row>
    <row r="16" spans="1:9" x14ac:dyDescent="0.3">
      <c r="A16" s="62" t="s">
        <v>78</v>
      </c>
      <c r="B16" s="76">
        <v>8</v>
      </c>
      <c r="C16" s="77">
        <v>0.05</v>
      </c>
      <c r="F16" s="3" t="s">
        <v>62</v>
      </c>
      <c r="G16" s="2">
        <f>INVENTÁRIO!E10</f>
        <v>0</v>
      </c>
      <c r="H16" s="7">
        <f>INVENTÁRIO!G10</f>
        <v>0</v>
      </c>
    </row>
    <row r="17" spans="1:9" x14ac:dyDescent="0.3">
      <c r="A17" s="62" t="s">
        <v>79</v>
      </c>
      <c r="B17" s="76">
        <v>15</v>
      </c>
      <c r="C17" s="77">
        <v>0.05</v>
      </c>
      <c r="F17" s="3" t="s">
        <v>63</v>
      </c>
      <c r="G17" s="2">
        <f>INVENTÁRIO!E11</f>
        <v>0</v>
      </c>
      <c r="H17" s="7">
        <f>INVENTÁRIO!G11</f>
        <v>0</v>
      </c>
    </row>
    <row r="18" spans="1:9" x14ac:dyDescent="0.3">
      <c r="A18" s="62" t="s">
        <v>80</v>
      </c>
      <c r="B18" s="76">
        <v>15</v>
      </c>
      <c r="C18" s="77">
        <v>0.2</v>
      </c>
      <c r="F18" s="3" t="s">
        <v>64</v>
      </c>
      <c r="G18" s="2">
        <f>INVENTÁRIO!E12</f>
        <v>0</v>
      </c>
      <c r="H18" s="7">
        <f>INVENTÁRIO!G12</f>
        <v>0</v>
      </c>
    </row>
    <row r="19" spans="1:9" x14ac:dyDescent="0.3">
      <c r="A19" s="73" t="s">
        <v>85</v>
      </c>
      <c r="B19" s="74"/>
      <c r="C19" s="74"/>
      <c r="F19" s="3" t="s">
        <v>65</v>
      </c>
      <c r="G19" s="57">
        <f>INVENTÁRIO!E13</f>
        <v>0</v>
      </c>
      <c r="H19" s="7">
        <f>INVENTÁRIO!G13</f>
        <v>0</v>
      </c>
    </row>
    <row r="20" spans="1:9" x14ac:dyDescent="0.3">
      <c r="F20" s="3" t="s">
        <v>66</v>
      </c>
      <c r="G20" s="57">
        <f>INVENTÁRIO!E14</f>
        <v>0</v>
      </c>
      <c r="H20" s="7">
        <f>INVENTÁRIO!G14</f>
        <v>0</v>
      </c>
    </row>
    <row r="21" spans="1:9" x14ac:dyDescent="0.3">
      <c r="F21" s="3" t="s">
        <v>67</v>
      </c>
      <c r="G21" s="57">
        <f>INVENTÁRIO!E15</f>
        <v>0</v>
      </c>
      <c r="H21" s="7">
        <f>INVENTÁRIO!G15</f>
        <v>0</v>
      </c>
    </row>
    <row r="22" spans="1:9" x14ac:dyDescent="0.3">
      <c r="F22" s="3" t="s">
        <v>68</v>
      </c>
      <c r="G22" s="2">
        <f>INVENTÁRIO!E16</f>
        <v>0</v>
      </c>
      <c r="H22" s="7">
        <f>INVENTÁRIO!G16</f>
        <v>0</v>
      </c>
    </row>
    <row r="23" spans="1:9" ht="15" thickBot="1" x14ac:dyDescent="0.35">
      <c r="F23" s="3" t="s">
        <v>85</v>
      </c>
      <c r="G23" s="2">
        <f>INVENTÁRIO!B7</f>
        <v>0</v>
      </c>
      <c r="H23" s="93">
        <f>G23*3</f>
        <v>0</v>
      </c>
    </row>
    <row r="24" spans="1:9" ht="15" thickBot="1" x14ac:dyDescent="0.35">
      <c r="F24" s="33" t="s">
        <v>92</v>
      </c>
      <c r="G24" s="92"/>
      <c r="H24" s="10">
        <f>INVENTÁRIO!G17</f>
        <v>0</v>
      </c>
      <c r="I24" s="71">
        <f>INVENTÁRIO!H17</f>
        <v>0</v>
      </c>
    </row>
    <row r="25" spans="1:9" x14ac:dyDescent="0.3">
      <c r="F25" s="132" t="s">
        <v>93</v>
      </c>
      <c r="G25" s="132"/>
      <c r="H25" s="132"/>
      <c r="I25" s="132"/>
    </row>
    <row r="26" spans="1:9" ht="15" thickBot="1" x14ac:dyDescent="0.35">
      <c r="F26" s="128"/>
      <c r="G26" s="128"/>
      <c r="H26" s="128"/>
      <c r="I26" s="128"/>
    </row>
    <row r="27" spans="1:9" x14ac:dyDescent="0.3">
      <c r="F27" s="3" t="s">
        <v>94</v>
      </c>
      <c r="G27" s="57" t="e">
        <f>INVENTÁRIO!B11</f>
        <v>#DIV/0!</v>
      </c>
      <c r="H27" s="60" t="e">
        <f>120*G27</f>
        <v>#DIV/0!</v>
      </c>
      <c r="I27" s="60"/>
    </row>
    <row r="28" spans="1:9" x14ac:dyDescent="0.3">
      <c r="F28" s="3" t="s">
        <v>95</v>
      </c>
      <c r="G28" s="2"/>
      <c r="H28" s="60"/>
      <c r="I28" s="60"/>
    </row>
    <row r="29" spans="1:9" x14ac:dyDescent="0.3">
      <c r="F29" s="3" t="s">
        <v>96</v>
      </c>
      <c r="G29" s="2"/>
      <c r="H29" s="60"/>
      <c r="I29" s="60"/>
    </row>
    <row r="30" spans="1:9" x14ac:dyDescent="0.3">
      <c r="F30" s="3" t="s">
        <v>97</v>
      </c>
      <c r="G30" s="2"/>
      <c r="H30" s="60"/>
      <c r="I30" s="60"/>
    </row>
    <row r="31" spans="1:9" x14ac:dyDescent="0.3">
      <c r="F31" s="3" t="s">
        <v>98</v>
      </c>
      <c r="G31" s="2"/>
      <c r="H31" s="60"/>
      <c r="I31" s="60"/>
    </row>
    <row r="32" spans="1:9" ht="15" thickBot="1" x14ac:dyDescent="0.35">
      <c r="F32" s="3" t="s">
        <v>99</v>
      </c>
      <c r="G32" s="2" t="s">
        <v>102</v>
      </c>
      <c r="H32" s="72"/>
      <c r="I32" s="60"/>
    </row>
    <row r="33" spans="6:9" ht="15" thickBot="1" x14ac:dyDescent="0.35">
      <c r="F33" s="33" t="s">
        <v>9</v>
      </c>
      <c r="G33" s="94"/>
      <c r="H33" s="69" t="e">
        <f>SUM(H27:H32,H24,H8,H5)</f>
        <v>#DIV/0!</v>
      </c>
      <c r="I33" s="95"/>
    </row>
    <row r="34" spans="6:9" x14ac:dyDescent="0.3">
      <c r="G34" s="23"/>
      <c r="H34" s="23"/>
    </row>
    <row r="35" spans="6:9" x14ac:dyDescent="0.3">
      <c r="F35" s="131" t="s">
        <v>100</v>
      </c>
      <c r="G35" s="131"/>
      <c r="H35" s="131"/>
    </row>
    <row r="36" spans="6:9" x14ac:dyDescent="0.3">
      <c r="F36" s="86" t="s">
        <v>101</v>
      </c>
      <c r="G36" s="87" t="s">
        <v>83</v>
      </c>
      <c r="H36" s="87" t="s">
        <v>84</v>
      </c>
    </row>
    <row r="37" spans="6:9" x14ac:dyDescent="0.3">
      <c r="F37" s="62" t="s">
        <v>88</v>
      </c>
      <c r="G37" s="88">
        <v>40</v>
      </c>
      <c r="H37" s="89">
        <v>0.2</v>
      </c>
    </row>
    <row r="38" spans="6:9" x14ac:dyDescent="0.3">
      <c r="F38" s="62" t="s">
        <v>43</v>
      </c>
      <c r="G38" s="88">
        <v>40</v>
      </c>
      <c r="H38" s="89">
        <v>0.2</v>
      </c>
    </row>
    <row r="39" spans="6:9" x14ac:dyDescent="0.3">
      <c r="F39" s="62" t="s">
        <v>44</v>
      </c>
      <c r="G39" s="88">
        <v>40</v>
      </c>
      <c r="H39" s="89">
        <v>0.2</v>
      </c>
    </row>
  </sheetData>
  <sheetProtection algorithmName="SHA-512" hashValue="gez3fcDgX0/lhhpDKZtcd9Y6fIdTzwQTZYMYGxJuPCQlzXQwfgI6mYomlu/75ntpN4bcCLZHdS3JAWSMKuJtXQ==" saltValue="IPkBCOSqbxkIdRbKnw0Y8w==" spinCount="100000" sheet="1" scenarios="1" formatCells="0" formatColumns="0" formatRows="0" insertColumns="0" insertRows="0" deleteColumns="0" deleteRows="0" autoFilter="0"/>
  <mergeCells count="6">
    <mergeCell ref="F35:H35"/>
    <mergeCell ref="A12:C12"/>
    <mergeCell ref="A3:D3"/>
    <mergeCell ref="F3:I3"/>
    <mergeCell ref="F9:I10"/>
    <mergeCell ref="F25:I2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4DDA-BA96-4AD8-9A25-E6404F294C46}">
  <dimension ref="A1:E21"/>
  <sheetViews>
    <sheetView showGridLines="0" showRowColHeaders="0" workbookViewId="0">
      <selection activeCell="E31" sqref="D31:E31"/>
    </sheetView>
  </sheetViews>
  <sheetFormatPr defaultRowHeight="14.4" x14ac:dyDescent="0.3"/>
  <cols>
    <col min="1" max="1" width="27.5546875" customWidth="1"/>
    <col min="2" max="2" width="34.33203125" customWidth="1"/>
  </cols>
  <sheetData>
    <row r="1" spans="1:5" ht="15.6" x14ac:dyDescent="0.3">
      <c r="A1" s="121" t="s">
        <v>103</v>
      </c>
    </row>
    <row r="3" spans="1:5" x14ac:dyDescent="0.3">
      <c r="A3" s="135" t="s">
        <v>104</v>
      </c>
      <c r="B3" s="135"/>
    </row>
    <row r="4" spans="1:5" x14ac:dyDescent="0.3">
      <c r="A4" s="3" t="s">
        <v>115</v>
      </c>
      <c r="B4" s="11" t="s">
        <v>54</v>
      </c>
    </row>
    <row r="5" spans="1:5" x14ac:dyDescent="0.3">
      <c r="A5" s="3" t="s">
        <v>116</v>
      </c>
      <c r="B5" s="19" t="e">
        <f>REBANHO!$G$12/2</f>
        <v>#DIV/0!</v>
      </c>
    </row>
    <row r="6" spans="1:5" ht="15" thickBot="1" x14ac:dyDescent="0.35">
      <c r="A6" s="3" t="s">
        <v>117</v>
      </c>
      <c r="B6" s="19" t="e">
        <f>$B$5</f>
        <v>#DIV/0!</v>
      </c>
    </row>
    <row r="7" spans="1:5" ht="15" thickBot="1" x14ac:dyDescent="0.35">
      <c r="A7" s="28" t="s">
        <v>9</v>
      </c>
      <c r="B7" s="98" t="e">
        <f>SUM(B5:B6)</f>
        <v>#DIV/0!</v>
      </c>
    </row>
    <row r="8" spans="1:5" x14ac:dyDescent="0.3">
      <c r="A8" s="133" t="s">
        <v>105</v>
      </c>
      <c r="B8" s="133"/>
    </row>
    <row r="9" spans="1:5" ht="15" thickBot="1" x14ac:dyDescent="0.35">
      <c r="A9" s="134"/>
      <c r="B9" s="134"/>
    </row>
    <row r="10" spans="1:5" ht="15" thickBot="1" x14ac:dyDescent="0.35">
      <c r="A10" s="3" t="s">
        <v>106</v>
      </c>
      <c r="B10" s="6" t="e">
        <f>0.2*REBANHO!$G$10</f>
        <v>#DIV/0!</v>
      </c>
      <c r="E10" s="25"/>
    </row>
    <row r="11" spans="1:5" x14ac:dyDescent="0.3">
      <c r="A11" s="3" t="s">
        <v>107</v>
      </c>
      <c r="B11" s="19" t="e">
        <f>$B$5</f>
        <v>#DIV/0!</v>
      </c>
    </row>
    <row r="12" spans="1:5" ht="19.8" customHeight="1" thickBot="1" x14ac:dyDescent="0.35">
      <c r="A12" s="4" t="s">
        <v>108</v>
      </c>
      <c r="B12" s="6" t="e">
        <f>$B$11-$B$10</f>
        <v>#DIV/0!</v>
      </c>
    </row>
    <row r="13" spans="1:5" x14ac:dyDescent="0.3">
      <c r="A13" s="133" t="s">
        <v>109</v>
      </c>
      <c r="B13" s="133"/>
    </row>
    <row r="14" spans="1:5" ht="15" thickBot="1" x14ac:dyDescent="0.35">
      <c r="A14" s="134"/>
      <c r="B14" s="134"/>
    </row>
    <row r="15" spans="1:5" x14ac:dyDescent="0.3">
      <c r="A15" s="96"/>
      <c r="B15" s="59" t="s">
        <v>114</v>
      </c>
    </row>
    <row r="16" spans="1:5" x14ac:dyDescent="0.3">
      <c r="A16" s="3" t="s">
        <v>110</v>
      </c>
      <c r="B16" s="60" t="e">
        <f>SUM('CUSTO TOTAL'!$B$12,'CUSTO TOTAL'!$B$14,'CUSTO TOTAL'!$B$25,'CUSTO TOTAL'!$B$26)/REBANHO!$B$10</f>
        <v>#DIV/0!</v>
      </c>
    </row>
    <row r="17" spans="1:2" ht="29.4" thickBot="1" x14ac:dyDescent="0.35">
      <c r="A17" s="13" t="s">
        <v>111</v>
      </c>
      <c r="B17" s="4" t="e">
        <f>($B$16/12)*10</f>
        <v>#DIV/0!</v>
      </c>
    </row>
    <row r="18" spans="1:2" x14ac:dyDescent="0.3">
      <c r="A18" s="132" t="s">
        <v>112</v>
      </c>
      <c r="B18" s="132"/>
    </row>
    <row r="19" spans="1:2" ht="15" thickBot="1" x14ac:dyDescent="0.35">
      <c r="A19" s="128"/>
      <c r="B19" s="128"/>
    </row>
    <row r="20" spans="1:2" x14ac:dyDescent="0.3">
      <c r="A20" s="11" t="s">
        <v>54</v>
      </c>
      <c r="B20" s="11" t="s">
        <v>113</v>
      </c>
    </row>
    <row r="21" spans="1:2" x14ac:dyDescent="0.3">
      <c r="A21" s="19" t="e">
        <f>$B$12</f>
        <v>#DIV/0!</v>
      </c>
      <c r="B21" s="60" t="e">
        <f>$A$21*$B$17</f>
        <v>#DIV/0!</v>
      </c>
    </row>
  </sheetData>
  <sheetProtection algorithmName="SHA-512" hashValue="CjeCUfQ41eI2SbZHhQth0QzDrFEdtlI8MUMxHTeq2TTXmQRRaIJdzaSwFYigc+H8VeVTvsvzbbN6FQ3e8YG/6w==" saltValue="g7mVQLR6i63523ec+0dNZw==" spinCount="100000" sheet="1" scenarios="1" formatCells="0" formatColumns="0" formatRows="0" insertColumns="0" insertRows="0" deleteColumns="0" deleteRows="0" autoFilter="0"/>
  <mergeCells count="4">
    <mergeCell ref="A8:B9"/>
    <mergeCell ref="A13:B14"/>
    <mergeCell ref="A18:B19"/>
    <mergeCell ref="A3:B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2883-4886-4694-88EF-43CF755D642A}">
  <dimension ref="A1:I27"/>
  <sheetViews>
    <sheetView showGridLines="0" showRowColHeaders="0" workbookViewId="0">
      <selection activeCell="B18" sqref="B18"/>
    </sheetView>
  </sheetViews>
  <sheetFormatPr defaultRowHeight="14.4" x14ac:dyDescent="0.3"/>
  <cols>
    <col min="1" max="1" width="24.6640625" customWidth="1"/>
    <col min="2" max="2" width="18.44140625" customWidth="1"/>
    <col min="3" max="3" width="12.33203125" customWidth="1"/>
    <col min="4" max="4" width="14" customWidth="1"/>
    <col min="6" max="6" width="23.6640625" customWidth="1"/>
    <col min="7" max="7" width="14.21875" customWidth="1"/>
    <col min="8" max="8" width="15.44140625" customWidth="1"/>
    <col min="9" max="9" width="15.33203125" customWidth="1"/>
  </cols>
  <sheetData>
    <row r="1" spans="1:9" ht="15.6" x14ac:dyDescent="0.3">
      <c r="A1" s="121" t="s">
        <v>118</v>
      </c>
    </row>
    <row r="3" spans="1:9" x14ac:dyDescent="0.3">
      <c r="A3" s="135" t="s">
        <v>119</v>
      </c>
      <c r="B3" s="135"/>
      <c r="C3" s="135"/>
      <c r="D3" s="135"/>
      <c r="F3" t="s">
        <v>141</v>
      </c>
    </row>
    <row r="4" spans="1:9" x14ac:dyDescent="0.3">
      <c r="A4" s="79" t="s">
        <v>120</v>
      </c>
      <c r="B4" s="99"/>
      <c r="C4" s="99"/>
      <c r="D4" s="99"/>
      <c r="F4" t="s">
        <v>142</v>
      </c>
    </row>
    <row r="5" spans="1:9" x14ac:dyDescent="0.3">
      <c r="A5" s="79" t="s">
        <v>121</v>
      </c>
      <c r="B5" s="66" t="s">
        <v>122</v>
      </c>
      <c r="C5" s="66" t="s">
        <v>14</v>
      </c>
      <c r="D5" s="66" t="s">
        <v>123</v>
      </c>
      <c r="F5" s="97" t="s">
        <v>121</v>
      </c>
      <c r="G5" s="66" t="s">
        <v>143</v>
      </c>
      <c r="H5" s="66" t="s">
        <v>122</v>
      </c>
      <c r="I5" s="66" t="s">
        <v>123</v>
      </c>
    </row>
    <row r="6" spans="1:9" x14ac:dyDescent="0.3">
      <c r="A6" s="3" t="s">
        <v>124</v>
      </c>
      <c r="B6" s="81"/>
      <c r="C6" s="2"/>
      <c r="D6" s="81">
        <f>$B$6*$C$6</f>
        <v>0</v>
      </c>
      <c r="F6" s="3" t="s">
        <v>144</v>
      </c>
      <c r="G6" s="2"/>
      <c r="H6" s="81"/>
      <c r="I6" s="81"/>
    </row>
    <row r="7" spans="1:9" x14ac:dyDescent="0.3">
      <c r="A7" s="3" t="s">
        <v>125</v>
      </c>
      <c r="B7" s="81"/>
      <c r="C7" s="2"/>
      <c r="D7" s="81">
        <f>$B$7*$C$7</f>
        <v>0</v>
      </c>
      <c r="F7" s="3" t="s">
        <v>124</v>
      </c>
      <c r="G7" s="2"/>
      <c r="H7" s="81"/>
      <c r="I7" s="81"/>
    </row>
    <row r="8" spans="1:9" x14ac:dyDescent="0.3">
      <c r="A8" s="3" t="s">
        <v>126</v>
      </c>
      <c r="B8" s="81"/>
      <c r="C8" s="2"/>
      <c r="D8" s="81">
        <f>$B$8*$C$8</f>
        <v>0</v>
      </c>
      <c r="F8" s="3" t="s">
        <v>125</v>
      </c>
      <c r="G8" s="2"/>
      <c r="H8" s="81"/>
      <c r="I8" s="81"/>
    </row>
    <row r="9" spans="1:9" x14ac:dyDescent="0.3">
      <c r="A9" s="3" t="s">
        <v>127</v>
      </c>
      <c r="B9" s="81"/>
      <c r="C9" s="2"/>
      <c r="D9" s="81">
        <f>$B$9*$C$9</f>
        <v>0</v>
      </c>
      <c r="F9" s="3" t="s">
        <v>128</v>
      </c>
      <c r="G9" s="2"/>
      <c r="H9" s="81"/>
      <c r="I9" s="81"/>
    </row>
    <row r="10" spans="1:9" ht="15" thickBot="1" x14ac:dyDescent="0.35">
      <c r="A10" s="3" t="s">
        <v>128</v>
      </c>
      <c r="B10" s="81"/>
      <c r="C10" s="36"/>
      <c r="D10" s="81">
        <f>$B$10*$C$10</f>
        <v>0</v>
      </c>
      <c r="F10" s="3" t="s">
        <v>126</v>
      </c>
      <c r="G10" s="36"/>
      <c r="H10" s="83"/>
      <c r="I10" s="81"/>
    </row>
    <row r="11" spans="1:9" ht="15" thickBot="1" x14ac:dyDescent="0.35">
      <c r="A11" s="28" t="s">
        <v>129</v>
      </c>
      <c r="B11" s="33"/>
      <c r="C11" s="8"/>
      <c r="D11" s="71">
        <f>SUM(D6:D10)</f>
        <v>0</v>
      </c>
      <c r="F11" s="33" t="s">
        <v>129</v>
      </c>
      <c r="G11" s="33"/>
      <c r="H11" s="8"/>
      <c r="I11" s="71">
        <f>SUM(I6:I10)</f>
        <v>0</v>
      </c>
    </row>
    <row r="12" spans="1:9" ht="15" thickBot="1" x14ac:dyDescent="0.35">
      <c r="A12" s="28" t="s">
        <v>122</v>
      </c>
      <c r="B12" s="8"/>
      <c r="C12" s="33"/>
      <c r="D12" s="82">
        <f>D11/100</f>
        <v>0</v>
      </c>
      <c r="F12" s="8" t="s">
        <v>122</v>
      </c>
      <c r="G12" s="33"/>
      <c r="H12" s="33"/>
      <c r="I12" s="82">
        <f>I11/100</f>
        <v>0</v>
      </c>
    </row>
    <row r="13" spans="1:9" ht="15" thickBot="1" x14ac:dyDescent="0.35">
      <c r="A13" s="23"/>
      <c r="B13" s="23"/>
      <c r="F13" s="23"/>
    </row>
    <row r="14" spans="1:9" ht="15" thickBot="1" x14ac:dyDescent="0.35">
      <c r="A14" s="105" t="s">
        <v>130</v>
      </c>
      <c r="B14" s="104">
        <v>0</v>
      </c>
      <c r="F14" s="137" t="s">
        <v>145</v>
      </c>
      <c r="G14" s="137"/>
    </row>
    <row r="15" spans="1:9" ht="28.8" x14ac:dyDescent="0.3">
      <c r="F15" s="13" t="s">
        <v>146</v>
      </c>
      <c r="G15" s="21">
        <f>(REBANHO!G16+REBANHO!G17)/2*0.04</f>
        <v>0</v>
      </c>
    </row>
    <row r="16" spans="1:9" x14ac:dyDescent="0.3">
      <c r="A16" s="136" t="s">
        <v>131</v>
      </c>
      <c r="B16" s="136"/>
      <c r="F16" s="3" t="s">
        <v>24</v>
      </c>
      <c r="G16" s="50" t="e">
        <f>REBANHO!$G$20</f>
        <v>#DIV/0!</v>
      </c>
    </row>
    <row r="17" spans="1:7" ht="15" thickBot="1" x14ac:dyDescent="0.35">
      <c r="A17" s="80" t="s">
        <v>132</v>
      </c>
      <c r="B17" s="80" t="s">
        <v>133</v>
      </c>
    </row>
    <row r="18" spans="1:7" ht="15" thickBot="1" x14ac:dyDescent="0.35">
      <c r="A18" s="21" t="e">
        <f>$B$14*REBANHO!$G$12</f>
        <v>#DIV/0!</v>
      </c>
      <c r="B18" s="20" t="e">
        <f>$A$18*$D$12</f>
        <v>#DIV/0!</v>
      </c>
      <c r="F18" s="138" t="s">
        <v>147</v>
      </c>
      <c r="G18" s="138"/>
    </row>
    <row r="19" spans="1:7" ht="15" thickBot="1" x14ac:dyDescent="0.35">
      <c r="F19" s="103" t="s">
        <v>148</v>
      </c>
      <c r="G19" s="101" t="s">
        <v>149</v>
      </c>
    </row>
    <row r="20" spans="1:7" x14ac:dyDescent="0.3">
      <c r="A20" s="131" t="s">
        <v>134</v>
      </c>
      <c r="B20" s="131"/>
      <c r="C20" s="131"/>
      <c r="F20" s="102" t="e">
        <f>G15*REPOSIÇÃO!B11*'CREEP FEEDING'!G16</f>
        <v>#DIV/0!</v>
      </c>
      <c r="G20" s="122" t="e">
        <f>$F$20*I12</f>
        <v>#DIV/0!</v>
      </c>
    </row>
    <row r="21" spans="1:7" x14ac:dyDescent="0.3">
      <c r="A21" s="86" t="s">
        <v>121</v>
      </c>
      <c r="B21" s="85" t="s">
        <v>133</v>
      </c>
      <c r="C21" s="85" t="s">
        <v>122</v>
      </c>
    </row>
    <row r="22" spans="1:7" x14ac:dyDescent="0.3">
      <c r="A22" s="62" t="s">
        <v>135</v>
      </c>
      <c r="B22" s="100"/>
      <c r="C22" s="100"/>
    </row>
    <row r="23" spans="1:7" x14ac:dyDescent="0.3">
      <c r="A23" s="62" t="s">
        <v>136</v>
      </c>
      <c r="B23" s="100"/>
      <c r="C23" s="100"/>
    </row>
    <row r="24" spans="1:7" x14ac:dyDescent="0.3">
      <c r="A24" s="62" t="s">
        <v>137</v>
      </c>
      <c r="B24" s="100"/>
      <c r="C24" s="100"/>
    </row>
    <row r="25" spans="1:7" x14ac:dyDescent="0.3">
      <c r="A25" s="62" t="s">
        <v>138</v>
      </c>
      <c r="B25" s="100"/>
      <c r="C25" s="100"/>
    </row>
    <row r="26" spans="1:7" x14ac:dyDescent="0.3">
      <c r="A26" s="62" t="s">
        <v>139</v>
      </c>
      <c r="B26" s="100"/>
      <c r="C26" s="100"/>
    </row>
    <row r="27" spans="1:7" x14ac:dyDescent="0.3">
      <c r="A27" s="62" t="s">
        <v>140</v>
      </c>
      <c r="B27" s="100"/>
      <c r="C27" s="100"/>
    </row>
  </sheetData>
  <sheetProtection algorithmName="SHA-512" hashValue="CTAzYq4VhRS03B3QQWhPmxi1+l8sEztcPAL9RbZRg329dhDIrh18yoOa9U4GI1waGAa3njiQjVSOnZpwq3JBdg==" saltValue="PLDyjORLoBYhD/cpbt2FZQ==" spinCount="100000" sheet="1" scenarios="1" formatCells="0" formatColumns="0" formatRows="0" insertColumns="0" insertRows="0" deleteColumns="0" deleteRows="0" autoFilter="0"/>
  <mergeCells count="5">
    <mergeCell ref="A3:D3"/>
    <mergeCell ref="A16:B16"/>
    <mergeCell ref="A20:C20"/>
    <mergeCell ref="F14:G14"/>
    <mergeCell ref="F18:G18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8A191-1D9E-42CB-BD34-1F42C650E172}">
  <dimension ref="A1:D19"/>
  <sheetViews>
    <sheetView showGridLines="0" showRowColHeaders="0" workbookViewId="0"/>
  </sheetViews>
  <sheetFormatPr defaultRowHeight="14.4" x14ac:dyDescent="0.3"/>
  <cols>
    <col min="1" max="1" width="24.33203125" customWidth="1"/>
    <col min="2" max="2" width="19.5546875" customWidth="1"/>
    <col min="3" max="3" width="18" customWidth="1"/>
    <col min="4" max="4" width="14" customWidth="1"/>
  </cols>
  <sheetData>
    <row r="1" spans="1:4" ht="15.6" x14ac:dyDescent="0.3">
      <c r="A1" s="121" t="s">
        <v>150</v>
      </c>
    </row>
    <row r="3" spans="1:4" x14ac:dyDescent="0.3">
      <c r="A3" s="139" t="s">
        <v>151</v>
      </c>
      <c r="B3" s="139"/>
      <c r="C3" s="139"/>
      <c r="D3" s="139"/>
    </row>
    <row r="4" spans="1:4" ht="28.8" x14ac:dyDescent="0.3">
      <c r="A4" s="65" t="s">
        <v>152</v>
      </c>
      <c r="B4" s="106" t="s">
        <v>153</v>
      </c>
      <c r="C4" s="67" t="s">
        <v>154</v>
      </c>
      <c r="D4" s="66" t="s">
        <v>12</v>
      </c>
    </row>
    <row r="5" spans="1:4" x14ac:dyDescent="0.3">
      <c r="A5" s="3" t="s">
        <v>155</v>
      </c>
      <c r="B5" s="11" t="s">
        <v>102</v>
      </c>
      <c r="C5" s="2" t="s">
        <v>163</v>
      </c>
      <c r="D5" s="60"/>
    </row>
    <row r="6" spans="1:4" x14ac:dyDescent="0.3">
      <c r="A6" s="3" t="s">
        <v>156</v>
      </c>
      <c r="B6" s="2"/>
      <c r="C6" s="60"/>
      <c r="D6" s="3" t="e">
        <f>$C$6*$B$6*REBANHO!$G$22</f>
        <v>#DIV/0!</v>
      </c>
    </row>
    <row r="7" spans="1:4" x14ac:dyDescent="0.3">
      <c r="A7" s="3" t="s">
        <v>157</v>
      </c>
      <c r="B7" s="2"/>
      <c r="C7" s="60"/>
      <c r="D7" s="3" t="e">
        <f>$C$7*$B$7*REBANHO!$G$12</f>
        <v>#DIV/0!</v>
      </c>
    </row>
    <row r="8" spans="1:4" x14ac:dyDescent="0.3">
      <c r="A8" s="3" t="s">
        <v>158</v>
      </c>
      <c r="B8" s="2"/>
      <c r="C8" s="60"/>
      <c r="D8" s="3" t="e">
        <f>$C$8*$B$8*REBANHO!$G$22</f>
        <v>#DIV/0!</v>
      </c>
    </row>
    <row r="9" spans="1:4" ht="15" thickBot="1" x14ac:dyDescent="0.35">
      <c r="A9" s="3" t="s">
        <v>159</v>
      </c>
      <c r="B9" s="2"/>
      <c r="C9" s="72"/>
      <c r="D9" s="3" t="e">
        <f>$C$9*$B$9*REBANHO!$G$22</f>
        <v>#DIV/0!</v>
      </c>
    </row>
    <row r="10" spans="1:4" ht="15" thickBot="1" x14ac:dyDescent="0.35">
      <c r="A10" s="33" t="s">
        <v>164</v>
      </c>
      <c r="B10" s="33"/>
      <c r="C10" s="33"/>
      <c r="D10" s="71" t="e">
        <f>SUM(D6:D7)</f>
        <v>#DIV/0!</v>
      </c>
    </row>
    <row r="11" spans="1:4" ht="29.4" thickBot="1" x14ac:dyDescent="0.35">
      <c r="A11" s="111" t="s">
        <v>165</v>
      </c>
      <c r="B11" s="33"/>
      <c r="C11" s="33"/>
      <c r="D11" s="30" t="e">
        <f>SUM(D8:D9,D5)</f>
        <v>#DIV/0!</v>
      </c>
    </row>
    <row r="12" spans="1:4" x14ac:dyDescent="0.3">
      <c r="A12" s="37"/>
      <c r="B12" s="3"/>
      <c r="C12" s="3"/>
      <c r="D12" s="3"/>
    </row>
    <row r="13" spans="1:4" x14ac:dyDescent="0.3">
      <c r="A13" s="140" t="s">
        <v>160</v>
      </c>
      <c r="B13" s="140"/>
    </row>
    <row r="14" spans="1:4" ht="28.8" x14ac:dyDescent="0.3">
      <c r="A14" s="107"/>
      <c r="B14" s="108" t="s">
        <v>161</v>
      </c>
    </row>
    <row r="15" spans="1:4" x14ac:dyDescent="0.3">
      <c r="A15" s="109" t="s">
        <v>158</v>
      </c>
      <c r="B15" s="110"/>
    </row>
    <row r="16" spans="1:4" x14ac:dyDescent="0.3">
      <c r="A16" s="109" t="s">
        <v>159</v>
      </c>
      <c r="B16" s="110"/>
    </row>
    <row r="17" spans="1:2" x14ac:dyDescent="0.3">
      <c r="A17" s="109" t="s">
        <v>156</v>
      </c>
      <c r="B17" s="110"/>
    </row>
    <row r="18" spans="1:2" x14ac:dyDescent="0.3">
      <c r="A18" s="109" t="s">
        <v>162</v>
      </c>
      <c r="B18" s="110"/>
    </row>
    <row r="19" spans="1:2" x14ac:dyDescent="0.3">
      <c r="A19" s="3"/>
      <c r="B19" s="3"/>
    </row>
  </sheetData>
  <sheetProtection algorithmName="SHA-512" hashValue="thanDKNxhQsm17x0evYdgMh1iiC+qa2fNTXqNBUyBRN+KgqrF9wgUNRVHHZHqkdTXnGwZibGkyRMC4nKgYmIOQ==" saltValue="ylhokQQRDmO5J7b0++GgJg==" spinCount="100000" sheet="1" scenarios="1" formatCells="0" formatColumns="0" formatRows="0" insertColumns="0" insertRows="0" deleteColumns="0" deleteRows="0" autoFilter="0" pivotTables="0"/>
  <mergeCells count="2">
    <mergeCell ref="A3:D3"/>
    <mergeCell ref="A13:B1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1B1D6-D28E-4A3D-95DF-EB73429EBA9D}">
  <dimension ref="A1:D21"/>
  <sheetViews>
    <sheetView showGridLines="0" showRowColHeaders="0" workbookViewId="0">
      <selection activeCell="J26" sqref="J26:J27"/>
    </sheetView>
  </sheetViews>
  <sheetFormatPr defaultRowHeight="14.4" x14ac:dyDescent="0.3"/>
  <cols>
    <col min="1" max="1" width="28.77734375" customWidth="1"/>
    <col min="2" max="2" width="11.5546875" customWidth="1"/>
    <col min="3" max="3" width="15.88671875" customWidth="1"/>
  </cols>
  <sheetData>
    <row r="1" spans="1:4" ht="15.6" x14ac:dyDescent="0.3">
      <c r="A1" s="121" t="s">
        <v>166</v>
      </c>
    </row>
    <row r="3" spans="1:4" x14ac:dyDescent="0.3">
      <c r="A3" s="135" t="s">
        <v>168</v>
      </c>
      <c r="B3" s="135"/>
      <c r="C3" s="135"/>
      <c r="D3" s="3"/>
    </row>
    <row r="4" spans="1:4" x14ac:dyDescent="0.3">
      <c r="A4" s="79"/>
      <c r="B4" s="79"/>
      <c r="C4" s="80" t="s">
        <v>12</v>
      </c>
      <c r="D4" s="3"/>
    </row>
    <row r="5" spans="1:4" x14ac:dyDescent="0.3">
      <c r="A5" s="3" t="s">
        <v>169</v>
      </c>
      <c r="B5" s="50" t="e">
        <f>0.002*REBANHO!G22</f>
        <v>#DIV/0!</v>
      </c>
      <c r="C5" s="3"/>
      <c r="D5" s="3"/>
    </row>
    <row r="6" spans="1:4" x14ac:dyDescent="0.3">
      <c r="A6" s="3" t="s">
        <v>170</v>
      </c>
      <c r="B6" s="3"/>
      <c r="C6" s="7"/>
      <c r="D6" s="3"/>
    </row>
    <row r="7" spans="1:4" x14ac:dyDescent="0.3">
      <c r="A7" s="3" t="s">
        <v>171</v>
      </c>
      <c r="B7" s="3"/>
      <c r="C7" s="56"/>
      <c r="D7" s="3"/>
    </row>
    <row r="8" spans="1:4" x14ac:dyDescent="0.3">
      <c r="A8" s="3" t="s">
        <v>172</v>
      </c>
      <c r="B8" s="3"/>
      <c r="C8" s="56">
        <f>$C$7*0.075</f>
        <v>0</v>
      </c>
      <c r="D8" s="3"/>
    </row>
    <row r="9" spans="1:4" x14ac:dyDescent="0.3">
      <c r="A9" s="3" t="s">
        <v>173</v>
      </c>
      <c r="B9" s="3"/>
      <c r="C9" s="56">
        <f>$C$7*0.08</f>
        <v>0</v>
      </c>
      <c r="D9" s="3"/>
    </row>
    <row r="10" spans="1:4" x14ac:dyDescent="0.3">
      <c r="A10" s="3" t="s">
        <v>174</v>
      </c>
      <c r="B10" s="3"/>
      <c r="C10" s="56">
        <f>$C$7/12</f>
        <v>0</v>
      </c>
      <c r="D10" s="3"/>
    </row>
    <row r="11" spans="1:4" x14ac:dyDescent="0.3">
      <c r="A11" s="3" t="s">
        <v>175</v>
      </c>
      <c r="B11" s="3"/>
      <c r="C11" s="56">
        <f>$C$7/12</f>
        <v>0</v>
      </c>
      <c r="D11" s="3"/>
    </row>
    <row r="12" spans="1:4" x14ac:dyDescent="0.3">
      <c r="A12" s="3" t="s">
        <v>176</v>
      </c>
      <c r="B12" s="3"/>
      <c r="C12" s="56">
        <f>$C$11/3</f>
        <v>0</v>
      </c>
      <c r="D12" s="3"/>
    </row>
    <row r="13" spans="1:4" x14ac:dyDescent="0.3">
      <c r="A13" s="3" t="s">
        <v>177</v>
      </c>
      <c r="B13" s="3"/>
      <c r="C13" s="56">
        <f>SUM(C7:C12)</f>
        <v>0</v>
      </c>
      <c r="D13" s="3"/>
    </row>
    <row r="14" spans="1:4" x14ac:dyDescent="0.3">
      <c r="A14" s="3" t="s">
        <v>178</v>
      </c>
      <c r="B14" s="3"/>
      <c r="C14" s="56">
        <f>$C$13*12</f>
        <v>0</v>
      </c>
      <c r="D14" s="3"/>
    </row>
    <row r="15" spans="1:4" x14ac:dyDescent="0.3">
      <c r="A15" s="3" t="s">
        <v>179</v>
      </c>
      <c r="B15" s="3"/>
      <c r="C15" s="7"/>
      <c r="D15" s="3"/>
    </row>
    <row r="16" spans="1:4" x14ac:dyDescent="0.3">
      <c r="A16" s="3" t="s">
        <v>180</v>
      </c>
      <c r="B16" s="3"/>
      <c r="C16" s="56"/>
      <c r="D16" s="3"/>
    </row>
    <row r="17" spans="1:4" ht="28.8" x14ac:dyDescent="0.3">
      <c r="A17" s="16" t="s">
        <v>181</v>
      </c>
      <c r="B17" s="3"/>
      <c r="C17" s="56">
        <f>$C$16*REBANHO!$B$5*12</f>
        <v>0</v>
      </c>
      <c r="D17" s="3"/>
    </row>
    <row r="18" spans="1:4" x14ac:dyDescent="0.3">
      <c r="A18" s="3"/>
      <c r="B18" s="3"/>
      <c r="C18" s="3"/>
      <c r="D18" s="3"/>
    </row>
    <row r="19" spans="1:4" x14ac:dyDescent="0.3">
      <c r="A19" s="3"/>
      <c r="B19" s="3"/>
      <c r="C19" s="3"/>
      <c r="D19" s="3"/>
    </row>
    <row r="20" spans="1:4" x14ac:dyDescent="0.3">
      <c r="A20" s="3"/>
      <c r="B20" s="3"/>
      <c r="C20" s="3"/>
      <c r="D20" s="3"/>
    </row>
    <row r="21" spans="1:4" x14ac:dyDescent="0.3">
      <c r="A21" s="3"/>
      <c r="B21" s="3"/>
      <c r="C21" s="3"/>
      <c r="D21" s="3"/>
    </row>
  </sheetData>
  <sheetProtection algorithmName="SHA-512" hashValue="TNhBEwhhThPIrHB0QSq4bBz1JnEA+QuOF+IuDDP94PjzWEXV87qE0GQrTk50KGOCCgVcWbt6i1gNRtfLtR+iag==" saltValue="v0zb0ph6mNnjTQJhNb6Cbg==" spinCount="100000" sheet="1" scenarios="1" formatCells="0" formatColumns="0" formatRows="0" insertColumns="0" insertRows="0" deleteColumns="0" deleteRows="0"/>
  <mergeCells count="1">
    <mergeCell ref="A3:C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1B4A-6149-4930-A02F-8AD5B15BFB32}">
  <dimension ref="A1:H27"/>
  <sheetViews>
    <sheetView showGridLines="0" showRowColHeaders="0" workbookViewId="0">
      <selection activeCell="H28" sqref="H28"/>
    </sheetView>
  </sheetViews>
  <sheetFormatPr defaultRowHeight="14.4" x14ac:dyDescent="0.3"/>
  <cols>
    <col min="1" max="1" width="32.33203125" customWidth="1"/>
    <col min="2" max="2" width="13.88671875" customWidth="1"/>
    <col min="4" max="4" width="22.88671875" customWidth="1"/>
    <col min="5" max="5" width="20.44140625" customWidth="1"/>
    <col min="6" max="6" width="19.33203125" customWidth="1"/>
    <col min="7" max="7" width="14.6640625" customWidth="1"/>
    <col min="8" max="8" width="15.6640625" customWidth="1"/>
  </cols>
  <sheetData>
    <row r="1" spans="1:8" ht="15.6" x14ac:dyDescent="0.3">
      <c r="A1" s="121" t="s">
        <v>167</v>
      </c>
    </row>
    <row r="3" spans="1:8" x14ac:dyDescent="0.3">
      <c r="A3" s="129" t="s">
        <v>182</v>
      </c>
      <c r="B3" s="129"/>
      <c r="D3" s="135" t="s">
        <v>194</v>
      </c>
      <c r="E3" s="135"/>
      <c r="F3" s="135"/>
      <c r="G3" s="135"/>
    </row>
    <row r="4" spans="1:8" x14ac:dyDescent="0.3">
      <c r="A4" s="79" t="s">
        <v>183</v>
      </c>
      <c r="B4" s="80" t="s">
        <v>133</v>
      </c>
      <c r="D4" s="79" t="s">
        <v>195</v>
      </c>
      <c r="E4" s="66" t="s">
        <v>196</v>
      </c>
      <c r="F4" s="66" t="s">
        <v>122</v>
      </c>
      <c r="G4" s="66" t="s">
        <v>197</v>
      </c>
    </row>
    <row r="5" spans="1:8" x14ac:dyDescent="0.3">
      <c r="A5" s="3" t="s">
        <v>184</v>
      </c>
      <c r="B5" s="60"/>
      <c r="D5" s="3" t="s">
        <v>138</v>
      </c>
      <c r="E5" s="81">
        <f>'CREEP FEEDING'!$B$25</f>
        <v>0</v>
      </c>
      <c r="F5" s="113">
        <f>'CREEP FEEDING'!$C$25</f>
        <v>0</v>
      </c>
      <c r="G5" s="81" t="e">
        <f>0.012*30*12*REBANHO!$B$14*'CUSTO VARIÁVEL'!$F$5</f>
        <v>#DIV/0!</v>
      </c>
    </row>
    <row r="6" spans="1:8" x14ac:dyDescent="0.3">
      <c r="A6" s="3" t="s">
        <v>185</v>
      </c>
      <c r="B6" s="60"/>
      <c r="D6" s="3" t="s">
        <v>198</v>
      </c>
      <c r="E6" s="81" t="e">
        <f>SANIDADE!$D$10</f>
        <v>#DIV/0!</v>
      </c>
      <c r="F6" s="20" t="e">
        <f>$E$6/1000</f>
        <v>#DIV/0!</v>
      </c>
      <c r="G6" s="20" t="e">
        <f>3*$F$6*REBANHO!$B$14</f>
        <v>#DIV/0!</v>
      </c>
    </row>
    <row r="7" spans="1:8" x14ac:dyDescent="0.3">
      <c r="A7" s="3" t="s">
        <v>186</v>
      </c>
      <c r="B7" s="60"/>
      <c r="D7" s="3" t="s">
        <v>199</v>
      </c>
      <c r="E7" s="81" t="e">
        <f>SANIDADE!$D$11</f>
        <v>#DIV/0!</v>
      </c>
      <c r="F7" s="20" t="e">
        <f>$E$7/1000</f>
        <v>#DIV/0!</v>
      </c>
      <c r="G7" s="81" t="e">
        <f>6*F7*REBANHO!B14</f>
        <v>#DIV/0!</v>
      </c>
    </row>
    <row r="8" spans="1:8" ht="15" thickBot="1" x14ac:dyDescent="0.35">
      <c r="A8" s="3" t="s">
        <v>187</v>
      </c>
      <c r="B8" s="81">
        <f>$B$5*12</f>
        <v>0</v>
      </c>
      <c r="D8" s="3" t="s">
        <v>120</v>
      </c>
      <c r="E8" s="60"/>
      <c r="F8" s="72"/>
      <c r="G8" s="83" t="e">
        <f>'CREEP FEEDING'!B18</f>
        <v>#DIV/0!</v>
      </c>
    </row>
    <row r="9" spans="1:8" ht="15" thickBot="1" x14ac:dyDescent="0.35">
      <c r="A9" s="3" t="s">
        <v>188</v>
      </c>
      <c r="B9" s="81">
        <f>$B$6*$B$7*12</f>
        <v>0</v>
      </c>
      <c r="D9" s="33" t="s">
        <v>9</v>
      </c>
      <c r="E9" s="82"/>
      <c r="F9" s="82"/>
      <c r="G9" s="82" t="e">
        <f>SUM(G5:G8)</f>
        <v>#DIV/0!</v>
      </c>
    </row>
    <row r="10" spans="1:8" x14ac:dyDescent="0.3">
      <c r="A10" s="3" t="s">
        <v>193</v>
      </c>
      <c r="B10" s="60"/>
      <c r="D10" s="141" t="s">
        <v>200</v>
      </c>
      <c r="E10" s="141"/>
      <c r="F10" s="141"/>
      <c r="G10" s="141"/>
    </row>
    <row r="11" spans="1:8" x14ac:dyDescent="0.3">
      <c r="A11" s="3" t="s">
        <v>189</v>
      </c>
      <c r="B11" s="60"/>
      <c r="D11" s="3" t="s">
        <v>201</v>
      </c>
      <c r="E11" s="3"/>
      <c r="F11" s="3"/>
      <c r="G11" s="81" t="e">
        <f>'CREEP FEEDING'!$G$20</f>
        <v>#DIV/0!</v>
      </c>
    </row>
    <row r="12" spans="1:8" ht="15" thickBot="1" x14ac:dyDescent="0.35">
      <c r="A12" s="3" t="s">
        <v>190</v>
      </c>
      <c r="B12" s="60"/>
      <c r="D12" s="3" t="s">
        <v>202</v>
      </c>
      <c r="E12" s="3"/>
      <c r="F12" s="3"/>
      <c r="G12" s="81" t="e">
        <f>$F$6*REPOSIÇÃO!$B$11</f>
        <v>#DIV/0!</v>
      </c>
    </row>
    <row r="13" spans="1:8" ht="15" thickBot="1" x14ac:dyDescent="0.35">
      <c r="A13" s="33" t="s">
        <v>191</v>
      </c>
      <c r="B13" s="71">
        <f>SUM(B8:B12)</f>
        <v>0</v>
      </c>
      <c r="D13" s="3" t="s">
        <v>199</v>
      </c>
      <c r="E13" s="3"/>
      <c r="F13" s="3"/>
      <c r="G13" s="81" t="e">
        <f>REPOSIÇÃO!$B$11*3*'CUSTO VARIÁVEL'!$F$7</f>
        <v>#DIV/0!</v>
      </c>
    </row>
    <row r="14" spans="1:8" ht="29.4" thickBot="1" x14ac:dyDescent="0.35">
      <c r="A14" s="112" t="s">
        <v>192</v>
      </c>
      <c r="B14" s="31" t="e">
        <f>$B$13/REBANHO!$B$5</f>
        <v>#DIV/0!</v>
      </c>
      <c r="G14" s="58"/>
    </row>
    <row r="15" spans="1:8" x14ac:dyDescent="0.3">
      <c r="D15" s="129" t="s">
        <v>203</v>
      </c>
      <c r="E15" s="129"/>
      <c r="F15" s="129"/>
      <c r="G15" s="129"/>
      <c r="H15" s="129"/>
    </row>
    <row r="16" spans="1:8" ht="28.8" x14ac:dyDescent="0.3">
      <c r="D16" s="65" t="s">
        <v>204</v>
      </c>
      <c r="E16" s="66" t="s">
        <v>205</v>
      </c>
      <c r="F16" s="67" t="s">
        <v>206</v>
      </c>
      <c r="G16" s="66" t="s">
        <v>207</v>
      </c>
      <c r="H16" s="67" t="s">
        <v>208</v>
      </c>
    </row>
    <row r="17" spans="4:8" x14ac:dyDescent="0.3">
      <c r="D17" s="3" t="s">
        <v>209</v>
      </c>
      <c r="E17" s="11" t="s">
        <v>132</v>
      </c>
      <c r="F17" s="11"/>
      <c r="G17" s="60"/>
      <c r="H17" s="7">
        <f>$G$17*$F$17</f>
        <v>0</v>
      </c>
    </row>
    <row r="18" spans="4:8" ht="28.8" x14ac:dyDescent="0.3">
      <c r="D18" s="13" t="s">
        <v>215</v>
      </c>
      <c r="E18" s="11" t="s">
        <v>211</v>
      </c>
      <c r="F18" s="11"/>
      <c r="G18" s="7"/>
      <c r="H18" s="7">
        <f>$G$18*$F$18</f>
        <v>0</v>
      </c>
    </row>
    <row r="19" spans="4:8" ht="15" thickBot="1" x14ac:dyDescent="0.35">
      <c r="D19" s="3" t="s">
        <v>210</v>
      </c>
      <c r="E19" s="11" t="s">
        <v>132</v>
      </c>
      <c r="F19" s="11"/>
      <c r="G19" s="7"/>
      <c r="H19" s="7">
        <f>$G$19*$F$19</f>
        <v>0</v>
      </c>
    </row>
    <row r="20" spans="4:8" ht="15" thickBot="1" x14ac:dyDescent="0.35">
      <c r="D20" s="33" t="s">
        <v>9</v>
      </c>
      <c r="E20" s="115"/>
      <c r="F20" s="115"/>
      <c r="G20" s="115"/>
      <c r="H20" s="82">
        <f>SUM(H17:H19)</f>
        <v>0</v>
      </c>
    </row>
    <row r="21" spans="4:8" ht="15" thickBot="1" x14ac:dyDescent="0.35">
      <c r="D21" s="33" t="s">
        <v>212</v>
      </c>
      <c r="E21" s="12"/>
      <c r="F21" s="115"/>
      <c r="G21" s="115"/>
      <c r="H21" s="82">
        <f>$H$20*REBANHO!$B$5/2</f>
        <v>0</v>
      </c>
    </row>
    <row r="22" spans="4:8" x14ac:dyDescent="0.3">
      <c r="E22" s="23"/>
    </row>
    <row r="23" spans="4:8" x14ac:dyDescent="0.3">
      <c r="D23" s="142" t="s">
        <v>213</v>
      </c>
      <c r="E23" s="142"/>
      <c r="F23" s="142"/>
    </row>
    <row r="24" spans="4:8" x14ac:dyDescent="0.3">
      <c r="D24" s="86" t="s">
        <v>204</v>
      </c>
      <c r="E24" s="87" t="s">
        <v>205</v>
      </c>
      <c r="F24" s="87" t="s">
        <v>55</v>
      </c>
    </row>
    <row r="25" spans="4:8" x14ac:dyDescent="0.3">
      <c r="D25" s="62" t="s">
        <v>210</v>
      </c>
      <c r="E25" s="76" t="s">
        <v>216</v>
      </c>
      <c r="F25" s="100"/>
    </row>
    <row r="26" spans="4:8" ht="28.8" x14ac:dyDescent="0.3">
      <c r="D26" s="78" t="s">
        <v>214</v>
      </c>
      <c r="E26" s="76" t="s">
        <v>218</v>
      </c>
      <c r="F26" s="114"/>
    </row>
    <row r="27" spans="4:8" x14ac:dyDescent="0.3">
      <c r="D27" s="62" t="s">
        <v>217</v>
      </c>
      <c r="E27" s="76" t="s">
        <v>216</v>
      </c>
      <c r="F27" s="100"/>
    </row>
  </sheetData>
  <sheetProtection algorithmName="SHA-512" hashValue="2JUZEtJGTKZvFajXNVOQ+KZ/kpiV5JnxFaBjRuNK6vY9qkHHhBP+CFE84mhp3oWE9+zu7F135o0gryKY5isojg==" saltValue="4PRK35X4sLjmSarWW92hbQ==" spinCount="100000" sheet="1" scenarios="1" formatCells="0" formatColumns="0" formatRows="0" insertColumns="0" insertRows="0" insertHyperlinks="0" deleteColumns="0" deleteRows="0" autoFilter="0"/>
  <mergeCells count="5">
    <mergeCell ref="A3:B3"/>
    <mergeCell ref="D10:G10"/>
    <mergeCell ref="D3:G3"/>
    <mergeCell ref="D15:H15"/>
    <mergeCell ref="D23:F2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Introdução</vt:lpstr>
      <vt:lpstr>REBANHO</vt:lpstr>
      <vt:lpstr>INVENTÁRIO</vt:lpstr>
      <vt:lpstr>INFRAESTRUTURA</vt:lpstr>
      <vt:lpstr>REPOSIÇÃO</vt:lpstr>
      <vt:lpstr>CREEP FEEDING</vt:lpstr>
      <vt:lpstr>SANIDADE</vt:lpstr>
      <vt:lpstr>CUSTO FIXO</vt:lpstr>
      <vt:lpstr>CUSTO VARIÁVEL</vt:lpstr>
      <vt:lpstr>CUSTO TOTAL</vt:lpstr>
      <vt:lpstr>RECEITA</vt:lpstr>
      <vt:lpstr>VIABILIDADE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Elivelton</dc:creator>
  <cp:lastModifiedBy>Elivelton</cp:lastModifiedBy>
  <dcterms:created xsi:type="dcterms:W3CDTF">2024-02-02T12:32:03Z</dcterms:created>
  <dcterms:modified xsi:type="dcterms:W3CDTF">2024-08-26T16:35:59Z</dcterms:modified>
</cp:coreProperties>
</file>