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ra\Dropbox\NECO\2019\"/>
    </mc:Choice>
  </mc:AlternateContent>
  <bookViews>
    <workbookView xWindow="240" yWindow="60" windowWidth="15120" windowHeight="7560" tabRatio="634" firstSheet="1" activeTab="4"/>
  </bookViews>
  <sheets>
    <sheet name="Dispensa" sheetId="1" r:id="rId1"/>
    <sheet name="RP" sheetId="2" r:id="rId2"/>
    <sheet name="Empenhos" sheetId="3" r:id="rId3"/>
    <sheet name="Diárias" sheetId="4" r:id="rId4"/>
    <sheet name="Geral" sheetId="5" r:id="rId5"/>
    <sheet name="C. Biologia" sheetId="6" r:id="rId6"/>
    <sheet name="C. Estatística" sheetId="7" r:id="rId7"/>
    <sheet name="C. Física" sheetId="8" r:id="rId8"/>
    <sheet name="C. Geografia" sheetId="9" r:id="rId9"/>
    <sheet name="C. Matemática" sheetId="10" r:id="rId10"/>
    <sheet name="C. Meteorologia" sheetId="11" r:id="rId11"/>
    <sheet name="C. Química" sheetId="12" r:id="rId12"/>
    <sheet name="C. Química Industrial" sheetId="13" r:id="rId13"/>
    <sheet name="C. Tec. Processos Q." sheetId="14" r:id="rId14"/>
    <sheet name="PPG Agrobiologia" sheetId="15" r:id="rId15"/>
    <sheet name="PPG Bioquímica" sheetId="16" r:id="rId16"/>
    <sheet name="PPG Biodiversidade" sheetId="17" r:id="rId17"/>
    <sheet name="PPG Educação Mat." sheetId="18" r:id="rId18"/>
    <sheet name="PPG Física" sheetId="19" r:id="rId19"/>
    <sheet name="PPG Geografia" sheetId="20" r:id="rId20"/>
    <sheet name="PPG Matemática" sheetId="21" r:id="rId21"/>
    <sheet name="PPG Meteorologia" sheetId="22" r:id="rId22"/>
    <sheet name="PPG Química" sheetId="23" r:id="rId23"/>
    <sheet name="PPG Química da Vida " sheetId="24" r:id="rId24"/>
    <sheet name="PPG Estatística" sheetId="25" r:id="rId25"/>
    <sheet name="PROFMAT" sheetId="26" r:id="rId26"/>
    <sheet name="D. Biologia" sheetId="27" r:id="rId27"/>
    <sheet name="D. Bioquímica" sheetId="28" r:id="rId28"/>
    <sheet name="D. Estatística" sheetId="29" r:id="rId29"/>
    <sheet name="D. Ecologia" sheetId="30" r:id="rId30"/>
    <sheet name="D. Física" sheetId="31" r:id="rId31"/>
    <sheet name="D. Geociências" sheetId="32" r:id="rId32"/>
    <sheet name="D. Matemática" sheetId="33" r:id="rId33"/>
    <sheet name="D. Química" sheetId="34" r:id="rId34"/>
    <sheet name="Diretórios" sheetId="35" r:id="rId35"/>
    <sheet name="Direção" sheetId="36" r:id="rId36"/>
    <sheet name="CAPPA" sheetId="37" r:id="rId37"/>
    <sheet name="Biblioteca" sheetId="38" r:id="rId38"/>
    <sheet name="Jardim Botânico" sheetId="39" r:id="rId39"/>
    <sheet name="Revista" sheetId="40" r:id="rId40"/>
  </sheets>
  <externalReferences>
    <externalReference r:id="rId41"/>
    <externalReference r:id="rId42"/>
  </externalReferences>
  <definedNames>
    <definedName name="_xlnm.Print_Area" localSheetId="31">'D. Geociências'!$A$1:$I$81</definedName>
  </definedNames>
  <calcPr calcId="162913"/>
  <extLst>
    <ext uri="smNativeData">
      <pm:revision xmlns:pm="smNativeData" day="1572959008" val="971" rev="124" revOS="4" revMin="124" revMax="0"/>
      <pm:docPrefs xmlns:pm="smNativeData" id="1572959008" fixedDigits="0" showNotice="1" showFrameBounds="1" autoChart="1" recalcOnPrint="1" recalcOnCopy="1" finalRounding="1" compatTextArt="1" tab="567" useDefinedPrintRange="1" printArea="currentSheet"/>
      <pm:compatibility xmlns:pm="smNativeData" id="1572959008" overlapCells="1"/>
      <pm:defCurrency xmlns:pm="smNativeData" id="1572959008"/>
    </ext>
  </extLst>
</workbook>
</file>

<file path=xl/calcChain.xml><?xml version="1.0" encoding="utf-8"?>
<calcChain xmlns="http://schemas.openxmlformats.org/spreadsheetml/2006/main">
  <c r="D7" i="36" l="1"/>
  <c r="D7" i="31"/>
  <c r="D7" i="34"/>
  <c r="L108" i="3"/>
  <c r="L95" i="3"/>
  <c r="N7" i="40"/>
  <c r="I7" i="40"/>
  <c r="D7" i="40"/>
  <c r="N6" i="40"/>
  <c r="I6" i="40"/>
  <c r="I8" i="40" s="1"/>
  <c r="N5" i="40"/>
  <c r="D112" i="39"/>
  <c r="D123" i="39" s="1"/>
  <c r="D103" i="39"/>
  <c r="D110" i="39" s="1"/>
  <c r="D102" i="39"/>
  <c r="D96" i="39"/>
  <c r="D94" i="39"/>
  <c r="D92" i="39"/>
  <c r="D91" i="39"/>
  <c r="D85" i="39"/>
  <c r="D82" i="39"/>
  <c r="D76" i="39"/>
  <c r="D71" i="39"/>
  <c r="D70" i="39"/>
  <c r="D50" i="39"/>
  <c r="D49" i="39"/>
  <c r="D39" i="39"/>
  <c r="D24" i="39"/>
  <c r="D7" i="39" s="1"/>
  <c r="G46" i="5" s="1"/>
  <c r="N7" i="39"/>
  <c r="I7" i="39"/>
  <c r="N6" i="39"/>
  <c r="I6" i="39"/>
  <c r="I8" i="39" s="1"/>
  <c r="N5" i="39"/>
  <c r="D41" i="38"/>
  <c r="D34" i="38"/>
  <c r="D7" i="38" s="1"/>
  <c r="G45" i="5" s="1"/>
  <c r="D33" i="38"/>
  <c r="D27" i="38"/>
  <c r="D23" i="38"/>
  <c r="N10" i="38"/>
  <c r="N7" i="38"/>
  <c r="I7" i="38"/>
  <c r="N6" i="38"/>
  <c r="I6" i="38"/>
  <c r="I8" i="38" s="1"/>
  <c r="N5" i="38"/>
  <c r="D49" i="37"/>
  <c r="N8" i="37"/>
  <c r="N7" i="37"/>
  <c r="I7" i="37"/>
  <c r="D7" i="37"/>
  <c r="N6" i="37"/>
  <c r="N5" i="37"/>
  <c r="D415" i="36"/>
  <c r="D376" i="36"/>
  <c r="D366" i="36"/>
  <c r="D326" i="36"/>
  <c r="D325" i="36"/>
  <c r="D314" i="36"/>
  <c r="D289" i="36"/>
  <c r="D251" i="36"/>
  <c r="D249" i="36"/>
  <c r="D235" i="36"/>
  <c r="D225" i="36"/>
  <c r="D223" i="36"/>
  <c r="D191" i="36"/>
  <c r="D190" i="36"/>
  <c r="D165" i="36"/>
  <c r="D164" i="36"/>
  <c r="D126" i="36"/>
  <c r="D123" i="36"/>
  <c r="D122" i="36"/>
  <c r="D114" i="36"/>
  <c r="D105" i="36"/>
  <c r="D80" i="36"/>
  <c r="D74" i="36"/>
  <c r="D73" i="36" s="1"/>
  <c r="D51" i="36"/>
  <c r="D45" i="36"/>
  <c r="D38" i="36"/>
  <c r="I26" i="36"/>
  <c r="D24" i="36"/>
  <c r="D23" i="36"/>
  <c r="I22" i="36"/>
  <c r="I21" i="36"/>
  <c r="N17" i="36"/>
  <c r="I17" i="36"/>
  <c r="N16" i="36"/>
  <c r="I16" i="36"/>
  <c r="N15" i="36"/>
  <c r="I15" i="36"/>
  <c r="I11" i="36"/>
  <c r="I7" i="36" s="1"/>
  <c r="I10" i="36"/>
  <c r="N6" i="36"/>
  <c r="N5" i="36"/>
  <c r="N8" i="35"/>
  <c r="N7" i="35"/>
  <c r="I7" i="35"/>
  <c r="H41" i="5" s="1"/>
  <c r="H40" i="5" s="1"/>
  <c r="D7" i="35"/>
  <c r="N6" i="35"/>
  <c r="N5" i="35"/>
  <c r="D166" i="34"/>
  <c r="D142" i="34"/>
  <c r="I139" i="34"/>
  <c r="D139" i="34"/>
  <c r="D46" i="34"/>
  <c r="D34" i="34"/>
  <c r="D18" i="34"/>
  <c r="I13" i="34"/>
  <c r="I11" i="34"/>
  <c r="I10" i="34"/>
  <c r="N7" i="34"/>
  <c r="I7" i="34"/>
  <c r="H39" i="5" s="1"/>
  <c r="N5" i="34"/>
  <c r="D63" i="33"/>
  <c r="D52" i="33"/>
  <c r="I29" i="33"/>
  <c r="I7" i="33" s="1"/>
  <c r="H38" i="5" s="1"/>
  <c r="I28" i="33"/>
  <c r="I25" i="33"/>
  <c r="I21" i="33"/>
  <c r="N7" i="33"/>
  <c r="D7" i="33"/>
  <c r="N5" i="33"/>
  <c r="D95" i="32"/>
  <c r="D84" i="32"/>
  <c r="D81" i="32"/>
  <c r="D74" i="32"/>
  <c r="D73" i="32"/>
  <c r="D71" i="32"/>
  <c r="D68" i="32"/>
  <c r="D63" i="32"/>
  <c r="D60" i="32"/>
  <c r="D58" i="32"/>
  <c r="D43" i="32"/>
  <c r="D42" i="32"/>
  <c r="D41" i="32"/>
  <c r="D39" i="32"/>
  <c r="D55" i="32" s="1"/>
  <c r="I25" i="32"/>
  <c r="I16" i="32"/>
  <c r="I15" i="32"/>
  <c r="I14" i="32"/>
  <c r="I13" i="32"/>
  <c r="I10" i="32"/>
  <c r="N7" i="32"/>
  <c r="D7" i="32"/>
  <c r="N6" i="32"/>
  <c r="N8" i="32" s="1"/>
  <c r="N5" i="32"/>
  <c r="D129" i="31"/>
  <c r="D140" i="31" s="1"/>
  <c r="D91" i="31"/>
  <c r="D73" i="31"/>
  <c r="G36" i="5" s="1"/>
  <c r="I29" i="31"/>
  <c r="I28" i="31"/>
  <c r="I27" i="31"/>
  <c r="I26" i="31"/>
  <c r="I25" i="31"/>
  <c r="I23" i="31"/>
  <c r="I22" i="31"/>
  <c r="I20" i="31"/>
  <c r="I19" i="31"/>
  <c r="I18" i="31"/>
  <c r="I17" i="31"/>
  <c r="I16" i="31"/>
  <c r="I15" i="31"/>
  <c r="I14" i="31"/>
  <c r="I13" i="31"/>
  <c r="I11" i="31"/>
  <c r="I7" i="31" s="1"/>
  <c r="I10" i="31"/>
  <c r="N7" i="31"/>
  <c r="N6" i="31"/>
  <c r="N8" i="31" s="1"/>
  <c r="N5" i="31"/>
  <c r="D128" i="30"/>
  <c r="D117" i="30"/>
  <c r="D112" i="30"/>
  <c r="D111" i="30"/>
  <c r="D114" i="30" s="1"/>
  <c r="D108" i="30"/>
  <c r="D105" i="30"/>
  <c r="D104" i="30"/>
  <c r="D101" i="30"/>
  <c r="D7" i="30" s="1"/>
  <c r="G34" i="5" s="1"/>
  <c r="D100" i="30"/>
  <c r="D70" i="30"/>
  <c r="D20" i="30"/>
  <c r="N8" i="30"/>
  <c r="N7" i="30"/>
  <c r="I7" i="30"/>
  <c r="H34" i="5" s="1"/>
  <c r="N6" i="30"/>
  <c r="N5" i="30"/>
  <c r="D67" i="29"/>
  <c r="D56" i="29"/>
  <c r="D53" i="29"/>
  <c r="D50" i="29"/>
  <c r="D36" i="29"/>
  <c r="I16" i="29"/>
  <c r="N10" i="29"/>
  <c r="N7" i="29" s="1"/>
  <c r="I7" i="29"/>
  <c r="D7" i="29"/>
  <c r="N6" i="29"/>
  <c r="N5" i="29"/>
  <c r="D130" i="28"/>
  <c r="D141" i="28" s="1"/>
  <c r="D40" i="28"/>
  <c r="I14" i="28"/>
  <c r="I7" i="28" s="1"/>
  <c r="N7" i="28"/>
  <c r="D7" i="28"/>
  <c r="G33" i="5" s="1"/>
  <c r="N6" i="28"/>
  <c r="N8" i="28" s="1"/>
  <c r="N5" i="28"/>
  <c r="D108" i="27"/>
  <c r="D106" i="27"/>
  <c r="D90" i="27"/>
  <c r="D101" i="27" s="1"/>
  <c r="D79" i="27"/>
  <c r="D57" i="27"/>
  <c r="D51" i="27"/>
  <c r="D21" i="27"/>
  <c r="D7" i="27" s="1"/>
  <c r="N7" i="27"/>
  <c r="N8" i="27" s="1"/>
  <c r="I7" i="27"/>
  <c r="N6" i="27"/>
  <c r="N5" i="27"/>
  <c r="I12" i="26"/>
  <c r="N8" i="26"/>
  <c r="N7" i="26"/>
  <c r="I7" i="26"/>
  <c r="D7" i="26"/>
  <c r="N6" i="26"/>
  <c r="N5" i="26"/>
  <c r="D48" i="25"/>
  <c r="D37" i="25"/>
  <c r="D35" i="25"/>
  <c r="D31" i="25"/>
  <c r="N7" i="25"/>
  <c r="I7" i="25"/>
  <c r="D7" i="25"/>
  <c r="N6" i="25"/>
  <c r="N8" i="25" s="1"/>
  <c r="N5" i="25"/>
  <c r="D16" i="24"/>
  <c r="D7" i="24" s="1"/>
  <c r="G28" i="5" s="1"/>
  <c r="D15" i="24"/>
  <c r="D12" i="24"/>
  <c r="N7" i="24"/>
  <c r="I7" i="24"/>
  <c r="N6" i="24"/>
  <c r="N8" i="24" s="1"/>
  <c r="N5" i="24"/>
  <c r="D32" i="23"/>
  <c r="N7" i="23"/>
  <c r="I7" i="23"/>
  <c r="D7" i="23"/>
  <c r="N6" i="23"/>
  <c r="N8" i="23" s="1"/>
  <c r="N5" i="23"/>
  <c r="D45" i="22"/>
  <c r="D34" i="22"/>
  <c r="N7" i="22"/>
  <c r="I7" i="22"/>
  <c r="D7" i="22"/>
  <c r="N6" i="22"/>
  <c r="N8" i="22" s="1"/>
  <c r="N5" i="22"/>
  <c r="D41" i="21"/>
  <c r="I10" i="21"/>
  <c r="N7" i="21"/>
  <c r="I7" i="21"/>
  <c r="D7" i="21"/>
  <c r="N6" i="21"/>
  <c r="N8" i="21" s="1"/>
  <c r="N5" i="21"/>
  <c r="D58" i="20"/>
  <c r="D47" i="20"/>
  <c r="D45" i="20"/>
  <c r="D38" i="20"/>
  <c r="N8" i="20"/>
  <c r="N7" i="20"/>
  <c r="I7" i="20"/>
  <c r="D7" i="20"/>
  <c r="N6" i="20"/>
  <c r="N5" i="20"/>
  <c r="D36" i="19"/>
  <c r="D47" i="19" s="1"/>
  <c r="D11" i="19"/>
  <c r="D7" i="19" s="1"/>
  <c r="I10" i="19"/>
  <c r="N7" i="19"/>
  <c r="I7" i="19"/>
  <c r="N6" i="19"/>
  <c r="N8" i="19" s="1"/>
  <c r="N5" i="19"/>
  <c r="D65" i="18"/>
  <c r="D54" i="18"/>
  <c r="D52" i="18"/>
  <c r="D36" i="18"/>
  <c r="D42" i="18" s="1"/>
  <c r="N7" i="18"/>
  <c r="I22" i="5" s="1"/>
  <c r="I7" i="18"/>
  <c r="D7" i="18"/>
  <c r="N6" i="18"/>
  <c r="N5" i="18"/>
  <c r="D68" i="17"/>
  <c r="D79" i="17" s="1"/>
  <c r="D66" i="17"/>
  <c r="D58" i="17"/>
  <c r="D53" i="17"/>
  <c r="D47" i="17"/>
  <c r="N7" i="17"/>
  <c r="I7" i="17"/>
  <c r="D7" i="17"/>
  <c r="N6" i="17"/>
  <c r="N8" i="17" s="1"/>
  <c r="N5" i="17"/>
  <c r="N7" i="16"/>
  <c r="I7" i="16"/>
  <c r="D7" i="16"/>
  <c r="G20" i="5" s="1"/>
  <c r="N6" i="16"/>
  <c r="N8" i="16" s="1"/>
  <c r="N5" i="16"/>
  <c r="D24" i="15"/>
  <c r="N7" i="15"/>
  <c r="I7" i="15"/>
  <c r="D7" i="15"/>
  <c r="G19" i="5" s="1"/>
  <c r="N6" i="15"/>
  <c r="N8" i="15" s="1"/>
  <c r="N5" i="15"/>
  <c r="D60" i="14"/>
  <c r="D49" i="14"/>
  <c r="D47" i="14"/>
  <c r="D40" i="14"/>
  <c r="N8" i="14"/>
  <c r="N7" i="14"/>
  <c r="I7" i="14"/>
  <c r="H17" i="5" s="1"/>
  <c r="K17" i="5" s="1"/>
  <c r="D7" i="14"/>
  <c r="N6" i="14"/>
  <c r="N5" i="14"/>
  <c r="D46" i="13"/>
  <c r="D57" i="13" s="1"/>
  <c r="D44" i="13"/>
  <c r="D38" i="13"/>
  <c r="D14" i="13"/>
  <c r="N7" i="13"/>
  <c r="I7" i="13"/>
  <c r="D7" i="13"/>
  <c r="N6" i="13"/>
  <c r="N8" i="13" s="1"/>
  <c r="N5" i="13"/>
  <c r="D36" i="12"/>
  <c r="D47" i="12" s="1"/>
  <c r="D31" i="12"/>
  <c r="D29" i="12"/>
  <c r="N7" i="12"/>
  <c r="I7" i="12"/>
  <c r="D7" i="12"/>
  <c r="N6" i="12"/>
  <c r="N8" i="12" s="1"/>
  <c r="N5" i="12"/>
  <c r="D41" i="11"/>
  <c r="D34" i="11"/>
  <c r="N7" i="11"/>
  <c r="I7" i="11"/>
  <c r="D7" i="11"/>
  <c r="N6" i="11"/>
  <c r="N8" i="11" s="1"/>
  <c r="N5" i="11"/>
  <c r="D44" i="10"/>
  <c r="D33" i="10"/>
  <c r="I15" i="10"/>
  <c r="D11" i="10"/>
  <c r="N8" i="10"/>
  <c r="N7" i="10"/>
  <c r="I7" i="10"/>
  <c r="H13" i="5" s="1"/>
  <c r="K13" i="5" s="1"/>
  <c r="D7" i="10"/>
  <c r="N6" i="10"/>
  <c r="N5" i="10"/>
  <c r="D43" i="9"/>
  <c r="D35" i="9"/>
  <c r="D14" i="9"/>
  <c r="D7" i="9" s="1"/>
  <c r="N7" i="9"/>
  <c r="I7" i="9"/>
  <c r="N6" i="9"/>
  <c r="N8" i="9" s="1"/>
  <c r="N5" i="9"/>
  <c r="D14" i="8"/>
  <c r="N8" i="8"/>
  <c r="N7" i="8"/>
  <c r="I7" i="8"/>
  <c r="H11" i="5" s="1"/>
  <c r="D7" i="8"/>
  <c r="N6" i="8"/>
  <c r="N5" i="8"/>
  <c r="D37" i="7"/>
  <c r="D48" i="7" s="1"/>
  <c r="D35" i="7"/>
  <c r="D31" i="7"/>
  <c r="N7" i="7"/>
  <c r="I7" i="7"/>
  <c r="D7" i="7"/>
  <c r="N6" i="7"/>
  <c r="N8" i="7" s="1"/>
  <c r="N5" i="7"/>
  <c r="D41" i="6"/>
  <c r="D12" i="6"/>
  <c r="N7" i="6"/>
  <c r="I7" i="6"/>
  <c r="D7" i="6"/>
  <c r="N6" i="6"/>
  <c r="N8" i="6" s="1"/>
  <c r="N5" i="6"/>
  <c r="D49" i="5"/>
  <c r="D15" i="5" s="1"/>
  <c r="B48" i="5"/>
  <c r="H47" i="5"/>
  <c r="G47" i="5"/>
  <c r="E47" i="5"/>
  <c r="H46" i="5"/>
  <c r="E46" i="5"/>
  <c r="K46" i="5" s="1"/>
  <c r="H45" i="5"/>
  <c r="E45" i="5"/>
  <c r="L44" i="5"/>
  <c r="I44" i="5"/>
  <c r="H44" i="5"/>
  <c r="K44" i="5" s="1"/>
  <c r="G44" i="5"/>
  <c r="E44" i="5"/>
  <c r="I6" i="37" s="1"/>
  <c r="I8" i="37" s="1"/>
  <c r="H43" i="5"/>
  <c r="H42" i="5" s="1"/>
  <c r="F43" i="5"/>
  <c r="E43" i="5"/>
  <c r="I6" i="36" s="1"/>
  <c r="F42" i="5"/>
  <c r="E42" i="5"/>
  <c r="I41" i="5"/>
  <c r="L41" i="5" s="1"/>
  <c r="L40" i="5" s="1"/>
  <c r="G41" i="5"/>
  <c r="E41" i="5"/>
  <c r="I40" i="5"/>
  <c r="G40" i="5"/>
  <c r="F40" i="5"/>
  <c r="I39" i="5"/>
  <c r="F39" i="5"/>
  <c r="N6" i="34" s="1"/>
  <c r="I38" i="5"/>
  <c r="G38" i="5"/>
  <c r="F38" i="5"/>
  <c r="I37" i="5"/>
  <c r="L37" i="5" s="1"/>
  <c r="G37" i="5"/>
  <c r="L36" i="5"/>
  <c r="I36" i="5"/>
  <c r="H36" i="5"/>
  <c r="F36" i="5"/>
  <c r="H35" i="5"/>
  <c r="G35" i="5"/>
  <c r="K34" i="5"/>
  <c r="I34" i="5"/>
  <c r="L34" i="5" s="1"/>
  <c r="L33" i="5"/>
  <c r="I33" i="5"/>
  <c r="H33" i="5"/>
  <c r="C33" i="5"/>
  <c r="E33" i="5" s="1"/>
  <c r="H32" i="5"/>
  <c r="G32" i="5"/>
  <c r="F31" i="5"/>
  <c r="L30" i="5"/>
  <c r="I30" i="5"/>
  <c r="H30" i="5"/>
  <c r="G30" i="5"/>
  <c r="E30" i="5"/>
  <c r="I6" i="26" s="1"/>
  <c r="I8" i="26" s="1"/>
  <c r="L29" i="5"/>
  <c r="I29" i="5"/>
  <c r="H29" i="5"/>
  <c r="G29" i="5"/>
  <c r="E29" i="5"/>
  <c r="I6" i="25" s="1"/>
  <c r="I8" i="25" s="1"/>
  <c r="L28" i="5"/>
  <c r="I28" i="5"/>
  <c r="H28" i="5"/>
  <c r="E28" i="5"/>
  <c r="I6" i="24" s="1"/>
  <c r="I8" i="24" s="1"/>
  <c r="L27" i="5"/>
  <c r="I27" i="5"/>
  <c r="H27" i="5"/>
  <c r="G27" i="5"/>
  <c r="E27" i="5"/>
  <c r="I6" i="23" s="1"/>
  <c r="I8" i="23" s="1"/>
  <c r="L26" i="5"/>
  <c r="I26" i="5"/>
  <c r="H26" i="5"/>
  <c r="G26" i="5"/>
  <c r="E26" i="5"/>
  <c r="I6" i="22" s="1"/>
  <c r="I8" i="22" s="1"/>
  <c r="L25" i="5"/>
  <c r="I25" i="5"/>
  <c r="H25" i="5"/>
  <c r="G25" i="5"/>
  <c r="E25" i="5"/>
  <c r="I6" i="21" s="1"/>
  <c r="I8" i="21" s="1"/>
  <c r="L24" i="5"/>
  <c r="I24" i="5"/>
  <c r="H24" i="5"/>
  <c r="G24" i="5"/>
  <c r="E24" i="5"/>
  <c r="I6" i="20" s="1"/>
  <c r="I8" i="20" s="1"/>
  <c r="L23" i="5"/>
  <c r="I23" i="5"/>
  <c r="H23" i="5"/>
  <c r="G23" i="5"/>
  <c r="E23" i="5"/>
  <c r="I6" i="19" s="1"/>
  <c r="I8" i="19" s="1"/>
  <c r="H22" i="5"/>
  <c r="G22" i="5"/>
  <c r="E22" i="5"/>
  <c r="K22" i="5" s="1"/>
  <c r="L21" i="5"/>
  <c r="I21" i="5"/>
  <c r="H21" i="5"/>
  <c r="G21" i="5"/>
  <c r="E21" i="5"/>
  <c r="I6" i="17" s="1"/>
  <c r="I8" i="17" s="1"/>
  <c r="L20" i="5"/>
  <c r="I20" i="5"/>
  <c r="H20" i="5"/>
  <c r="E20" i="5"/>
  <c r="I6" i="16" s="1"/>
  <c r="I8" i="16" s="1"/>
  <c r="L19" i="5"/>
  <c r="I19" i="5"/>
  <c r="H19" i="5"/>
  <c r="E19" i="5"/>
  <c r="I6" i="15" s="1"/>
  <c r="I8" i="15" s="1"/>
  <c r="H18" i="5"/>
  <c r="F18" i="5"/>
  <c r="I17" i="5"/>
  <c r="L17" i="5" s="1"/>
  <c r="G17" i="5"/>
  <c r="E17" i="5"/>
  <c r="I6" i="14" s="1"/>
  <c r="K16" i="5"/>
  <c r="I16" i="5"/>
  <c r="L16" i="5" s="1"/>
  <c r="H16" i="5"/>
  <c r="G16" i="5"/>
  <c r="E16" i="5"/>
  <c r="I6" i="13" s="1"/>
  <c r="I8" i="13" s="1"/>
  <c r="K15" i="5"/>
  <c r="I15" i="5"/>
  <c r="L15" i="5" s="1"/>
  <c r="H15" i="5"/>
  <c r="G15" i="5"/>
  <c r="E15" i="5"/>
  <c r="I6" i="12" s="1"/>
  <c r="I8" i="12" s="1"/>
  <c r="K14" i="5"/>
  <c r="I14" i="5"/>
  <c r="L14" i="5" s="1"/>
  <c r="H14" i="5"/>
  <c r="G14" i="5"/>
  <c r="E14" i="5"/>
  <c r="I6" i="11" s="1"/>
  <c r="I8" i="11" s="1"/>
  <c r="I13" i="5"/>
  <c r="L13" i="5" s="1"/>
  <c r="G13" i="5"/>
  <c r="E13" i="5"/>
  <c r="I6" i="10" s="1"/>
  <c r="K12" i="5"/>
  <c r="I12" i="5"/>
  <c r="L12" i="5" s="1"/>
  <c r="H12" i="5"/>
  <c r="G12" i="5"/>
  <c r="E12" i="5"/>
  <c r="I6" i="9" s="1"/>
  <c r="I8" i="9" s="1"/>
  <c r="I11" i="5"/>
  <c r="L11" i="5" s="1"/>
  <c r="G11" i="5"/>
  <c r="E11" i="5"/>
  <c r="I6" i="8" s="1"/>
  <c r="K10" i="5"/>
  <c r="I10" i="5"/>
  <c r="L10" i="5" s="1"/>
  <c r="H10" i="5"/>
  <c r="G10" i="5"/>
  <c r="E10" i="5"/>
  <c r="I6" i="7" s="1"/>
  <c r="I8" i="7" s="1"/>
  <c r="K9" i="5"/>
  <c r="I9" i="5"/>
  <c r="L9" i="5" s="1"/>
  <c r="L8" i="5" s="1"/>
  <c r="H9" i="5"/>
  <c r="G9" i="5"/>
  <c r="E9" i="5"/>
  <c r="I6" i="6" s="1"/>
  <c r="I8" i="6" s="1"/>
  <c r="I8" i="5"/>
  <c r="G8" i="5"/>
  <c r="F8" i="5"/>
  <c r="E8" i="5"/>
  <c r="J36" i="4"/>
  <c r="J35" i="4"/>
  <c r="J34" i="4"/>
  <c r="J33" i="4"/>
  <c r="J32" i="4"/>
  <c r="J31" i="4"/>
  <c r="J30" i="4"/>
  <c r="J29" i="4"/>
  <c r="J28" i="4"/>
  <c r="J27" i="4"/>
  <c r="J26" i="4"/>
  <c r="J24" i="4"/>
  <c r="J23" i="4"/>
  <c r="J22" i="4"/>
  <c r="J21" i="4"/>
  <c r="J20" i="4"/>
  <c r="J19" i="4"/>
  <c r="J17" i="4"/>
  <c r="J16" i="4"/>
  <c r="J14" i="4"/>
  <c r="B14" i="4"/>
  <c r="C13" i="4" s="1"/>
  <c r="C39" i="5" s="1"/>
  <c r="E39" i="5" s="1"/>
  <c r="J12" i="4"/>
  <c r="C12" i="4"/>
  <c r="C38" i="5" s="1"/>
  <c r="E38" i="5" s="1"/>
  <c r="J11" i="4"/>
  <c r="D11" i="4"/>
  <c r="C11" i="4"/>
  <c r="C37" i="5" s="1"/>
  <c r="E37" i="5" s="1"/>
  <c r="I6" i="32" s="1"/>
  <c r="J10" i="4"/>
  <c r="C10" i="4"/>
  <c r="C36" i="5" s="1"/>
  <c r="E36" i="5" s="1"/>
  <c r="J9" i="4"/>
  <c r="J8" i="4"/>
  <c r="J2" i="4" s="1"/>
  <c r="C8" i="4"/>
  <c r="C34" i="5" s="1"/>
  <c r="E34" i="5" s="1"/>
  <c r="I6" i="30" s="1"/>
  <c r="I8" i="30" s="1"/>
  <c r="J7" i="4"/>
  <c r="D7" i="4"/>
  <c r="C7" i="4"/>
  <c r="J6" i="4"/>
  <c r="C6" i="4"/>
  <c r="C32" i="5" s="1"/>
  <c r="J5" i="4"/>
  <c r="C5" i="4"/>
  <c r="D12" i="4" s="1"/>
  <c r="C3" i="4"/>
  <c r="C4" i="4" s="1"/>
  <c r="J1" i="4" s="1"/>
  <c r="J3" i="4" s="1"/>
  <c r="C2" i="4"/>
  <c r="G191" i="3"/>
  <c r="G190" i="3"/>
  <c r="L48" i="3" s="1"/>
  <c r="G172" i="3"/>
  <c r="G167" i="3"/>
  <c r="G164" i="3"/>
  <c r="G162" i="3"/>
  <c r="G161" i="3"/>
  <c r="L104" i="3"/>
  <c r="L83" i="3"/>
  <c r="L75" i="3"/>
  <c r="L70" i="3"/>
  <c r="L62" i="3"/>
  <c r="L60" i="3"/>
  <c r="L58" i="3"/>
  <c r="L52" i="3"/>
  <c r="L41" i="3"/>
  <c r="L26" i="3"/>
  <c r="L18" i="3"/>
  <c r="L9" i="3"/>
  <c r="L5" i="3"/>
  <c r="L3" i="3"/>
  <c r="L8" i="3" l="1"/>
  <c r="L17" i="3" s="1"/>
  <c r="L25" i="3" s="1"/>
  <c r="L38" i="3" s="1"/>
  <c r="L39" i="3"/>
  <c r="N8" i="34"/>
  <c r="G39" i="5"/>
  <c r="G18" i="5"/>
  <c r="I6" i="34"/>
  <c r="I8" i="34" s="1"/>
  <c r="K39" i="5"/>
  <c r="D6" i="12"/>
  <c r="D8" i="12" s="1"/>
  <c r="J15" i="5"/>
  <c r="K38" i="5"/>
  <c r="I6" i="33"/>
  <c r="I8" i="33" s="1"/>
  <c r="N8" i="29"/>
  <c r="I35" i="5"/>
  <c r="L35" i="5" s="1"/>
  <c r="H8" i="5"/>
  <c r="K11" i="5"/>
  <c r="K8" i="5" s="1"/>
  <c r="I18" i="5"/>
  <c r="L22" i="5"/>
  <c r="L18" i="5" s="1"/>
  <c r="I6" i="31"/>
  <c r="I8" i="31" s="1"/>
  <c r="K36" i="5"/>
  <c r="I6" i="18"/>
  <c r="I8" i="18" s="1"/>
  <c r="D6" i="4"/>
  <c r="C9" i="4"/>
  <c r="C35" i="5" s="1"/>
  <c r="E35" i="5" s="1"/>
  <c r="D10" i="4"/>
  <c r="K19" i="5"/>
  <c r="K20" i="5"/>
  <c r="K21" i="5"/>
  <c r="K23" i="5"/>
  <c r="K24" i="5"/>
  <c r="K25" i="5"/>
  <c r="K26" i="5"/>
  <c r="K27" i="5"/>
  <c r="K28" i="5"/>
  <c r="K29" i="5"/>
  <c r="K30" i="5"/>
  <c r="I32" i="5"/>
  <c r="D36" i="5"/>
  <c r="D43" i="5"/>
  <c r="K47" i="5"/>
  <c r="N8" i="18"/>
  <c r="I7" i="32"/>
  <c r="N8" i="39"/>
  <c r="I46" i="5"/>
  <c r="L46" i="5" s="1"/>
  <c r="C48" i="5"/>
  <c r="E32" i="5"/>
  <c r="D9" i="4"/>
  <c r="D13" i="4"/>
  <c r="D9" i="5"/>
  <c r="D10" i="5"/>
  <c r="D11" i="5"/>
  <c r="K33" i="5"/>
  <c r="I6" i="28"/>
  <c r="I8" i="28" s="1"/>
  <c r="E40" i="5"/>
  <c r="I6" i="35"/>
  <c r="I8" i="35" s="1"/>
  <c r="K41" i="5"/>
  <c r="K40" i="5" s="1"/>
  <c r="I8" i="36"/>
  <c r="N7" i="36"/>
  <c r="I43" i="5" s="1"/>
  <c r="G43" i="5"/>
  <c r="G42" i="5" s="1"/>
  <c r="N8" i="38"/>
  <c r="I45" i="5"/>
  <c r="L45" i="5" s="1"/>
  <c r="C14" i="4"/>
  <c r="D41" i="5"/>
  <c r="D38" i="5"/>
  <c r="D35" i="5"/>
  <c r="D37" i="5"/>
  <c r="D34" i="5"/>
  <c r="D47" i="5"/>
  <c r="D46" i="5"/>
  <c r="D45" i="5"/>
  <c r="D44" i="5"/>
  <c r="D39" i="5"/>
  <c r="D33" i="5"/>
  <c r="D12" i="5"/>
  <c r="D13" i="5"/>
  <c r="D14" i="5"/>
  <c r="D16" i="5"/>
  <c r="D17" i="5"/>
  <c r="D32" i="5"/>
  <c r="L38" i="5"/>
  <c r="D8" i="4"/>
  <c r="F48" i="5"/>
  <c r="I8" i="8"/>
  <c r="I8" i="10"/>
  <c r="I8" i="14"/>
  <c r="E18" i="5"/>
  <c r="D19" i="5"/>
  <c r="D20" i="5"/>
  <c r="D21" i="5"/>
  <c r="D22" i="5"/>
  <c r="D23" i="5"/>
  <c r="D24" i="5"/>
  <c r="D25" i="5"/>
  <c r="D26" i="5"/>
  <c r="D27" i="5"/>
  <c r="D28" i="5"/>
  <c r="D29" i="5"/>
  <c r="D30" i="5"/>
  <c r="G31" i="5"/>
  <c r="K45" i="5"/>
  <c r="D34" i="12"/>
  <c r="N8" i="40"/>
  <c r="I47" i="5"/>
  <c r="L47" i="5" s="1"/>
  <c r="L39" i="5"/>
  <c r="N6" i="33"/>
  <c r="N8" i="33" s="1"/>
  <c r="K43" i="5"/>
  <c r="L47" i="3" l="1"/>
  <c r="L57" i="3" s="1"/>
  <c r="L69" i="3" s="1"/>
  <c r="L82" i="3" s="1"/>
  <c r="L94" i="3" s="1"/>
  <c r="L107" i="3" s="1"/>
  <c r="L110" i="3" s="1"/>
  <c r="N8" i="36"/>
  <c r="G48" i="5"/>
  <c r="D6" i="20"/>
  <c r="D8" i="20" s="1"/>
  <c r="J24" i="5"/>
  <c r="D6" i="11"/>
  <c r="D8" i="11" s="1"/>
  <c r="J14" i="5"/>
  <c r="D6" i="40"/>
  <c r="D8" i="40" s="1"/>
  <c r="J47" i="5"/>
  <c r="J38" i="5"/>
  <c r="D6" i="33"/>
  <c r="D8" i="33" s="1"/>
  <c r="H37" i="5"/>
  <c r="I8" i="32"/>
  <c r="D6" i="31"/>
  <c r="D8" i="31" s="1"/>
  <c r="J36" i="5"/>
  <c r="K18" i="5"/>
  <c r="D6" i="23"/>
  <c r="D8" i="23" s="1"/>
  <c r="J27" i="5"/>
  <c r="D6" i="19"/>
  <c r="D8" i="19" s="1"/>
  <c r="J23" i="5"/>
  <c r="D6" i="15"/>
  <c r="D8" i="15" s="1"/>
  <c r="D18" i="5"/>
  <c r="J19" i="5"/>
  <c r="D6" i="27"/>
  <c r="D8" i="27" s="1"/>
  <c r="J32" i="5"/>
  <c r="D31" i="5"/>
  <c r="D6" i="10"/>
  <c r="D8" i="10" s="1"/>
  <c r="J13" i="5"/>
  <c r="J44" i="5"/>
  <c r="D6" i="37"/>
  <c r="D8" i="37" s="1"/>
  <c r="J34" i="5"/>
  <c r="D6" i="30"/>
  <c r="D8" i="30" s="1"/>
  <c r="D40" i="5"/>
  <c r="D6" i="35"/>
  <c r="D8" i="35" s="1"/>
  <c r="J41" i="5"/>
  <c r="J40" i="5" s="1"/>
  <c r="K42" i="5"/>
  <c r="D6" i="26"/>
  <c r="D8" i="26" s="1"/>
  <c r="J30" i="5"/>
  <c r="D6" i="22"/>
  <c r="D8" i="22" s="1"/>
  <c r="J26" i="5"/>
  <c r="D6" i="18"/>
  <c r="D8" i="18" s="1"/>
  <c r="J22" i="5"/>
  <c r="J17" i="5"/>
  <c r="D6" i="14"/>
  <c r="D8" i="14" s="1"/>
  <c r="D6" i="9"/>
  <c r="D8" i="9" s="1"/>
  <c r="J12" i="5"/>
  <c r="D6" i="38"/>
  <c r="D8" i="38" s="1"/>
  <c r="J45" i="5"/>
  <c r="J37" i="5"/>
  <c r="D6" i="32"/>
  <c r="D8" i="32" s="1"/>
  <c r="L43" i="5"/>
  <c r="L42" i="5" s="1"/>
  <c r="I42" i="5"/>
  <c r="D6" i="7"/>
  <c r="D8" i="7" s="1"/>
  <c r="J10" i="5"/>
  <c r="K35" i="5"/>
  <c r="I6" i="29"/>
  <c r="I8" i="29" s="1"/>
  <c r="D6" i="25"/>
  <c r="D8" i="25" s="1"/>
  <c r="J29" i="5"/>
  <c r="D6" i="21"/>
  <c r="D8" i="21" s="1"/>
  <c r="J25" i="5"/>
  <c r="D6" i="17"/>
  <c r="D8" i="17" s="1"/>
  <c r="J21" i="5"/>
  <c r="D6" i="13"/>
  <c r="D8" i="13" s="1"/>
  <c r="J16" i="5"/>
  <c r="J33" i="5"/>
  <c r="D6" i="28"/>
  <c r="D8" i="28" s="1"/>
  <c r="D6" i="39"/>
  <c r="D8" i="39" s="1"/>
  <c r="J46" i="5"/>
  <c r="D6" i="29"/>
  <c r="D8" i="29" s="1"/>
  <c r="J35" i="5"/>
  <c r="D6" i="6"/>
  <c r="D8" i="6" s="1"/>
  <c r="J9" i="5"/>
  <c r="D8" i="5"/>
  <c r="K32" i="5"/>
  <c r="I6" i="27"/>
  <c r="I8" i="27" s="1"/>
  <c r="E31" i="5"/>
  <c r="E48" i="5" s="1"/>
  <c r="D42" i="5"/>
  <c r="D6" i="36"/>
  <c r="D8" i="36" s="1"/>
  <c r="J43" i="5"/>
  <c r="D6" i="24"/>
  <c r="D8" i="24" s="1"/>
  <c r="J28" i="5"/>
  <c r="D6" i="16"/>
  <c r="D8" i="16" s="1"/>
  <c r="J20" i="5"/>
  <c r="J39" i="5"/>
  <c r="D6" i="34"/>
  <c r="D8" i="34" s="1"/>
  <c r="D6" i="8"/>
  <c r="D8" i="8" s="1"/>
  <c r="J11" i="5"/>
  <c r="L32" i="5"/>
  <c r="L31" i="5" s="1"/>
  <c r="I31" i="5"/>
  <c r="I48" i="5" s="1"/>
  <c r="L48" i="5" l="1"/>
  <c r="D48" i="5"/>
  <c r="J8" i="5"/>
  <c r="J31" i="5"/>
  <c r="J42" i="5"/>
  <c r="H31" i="5"/>
  <c r="H48" i="5" s="1"/>
  <c r="K37" i="5"/>
  <c r="K31" i="5"/>
  <c r="K48" i="5" s="1"/>
  <c r="J18" i="5"/>
  <c r="J48" i="5" l="1"/>
</calcChain>
</file>

<file path=xl/comments1.xml><?xml version="1.0" encoding="utf-8"?>
<comments xmlns="http://schemas.openxmlformats.org/spreadsheetml/2006/main">
  <authors>
    <author>Unknown</author>
  </authors>
  <commentList>
    <comment ref="B43" authorId="0" shapeId="0">
      <text>
        <r>
          <rPr>
            <b/>
            <sz val="9"/>
            <rFont val="Segoe UI"/>
            <family val="2"/>
          </rPr>
          <t>pccli:</t>
        </r>
        <r>
          <rPr>
            <sz val="9"/>
            <rFont val="Segoe UI"/>
            <family val="2"/>
          </rPr>
          <t xml:space="preserve">
Reformas e manutenção de salas de aula.
</t>
        </r>
      </text>
    </comment>
  </commentList>
</comments>
</file>

<file path=xl/sharedStrings.xml><?xml version="1.0" encoding="utf-8"?>
<sst xmlns="http://schemas.openxmlformats.org/spreadsheetml/2006/main" count="4491" uniqueCount="1588">
  <si>
    <t>Dispensa de Licitação CCNE 2019</t>
  </si>
  <si>
    <t>Data SIE</t>
  </si>
  <si>
    <t>nº SIE</t>
  </si>
  <si>
    <t>Solicitante</t>
  </si>
  <si>
    <t>Descrição</t>
  </si>
  <si>
    <t>Valor</t>
  </si>
  <si>
    <t>Empenho</t>
  </si>
  <si>
    <t>SIAFI</t>
  </si>
  <si>
    <t>D. Química</t>
  </si>
  <si>
    <t>Hélio líquido para o NAPO e RMN/DQ</t>
  </si>
  <si>
    <t>Peças para equipamento do CEPARC (profª Ionara Pizzutti)</t>
  </si>
  <si>
    <t>Manutenção HPLC do CEPARC - recurso da Direção</t>
  </si>
  <si>
    <t>Direção</t>
  </si>
  <si>
    <t>Aplicação de Gel Coat em 4 reservatórios do Prédio 18</t>
  </si>
  <si>
    <t>D. Biologia</t>
  </si>
  <si>
    <t>Conserto Ultrafreezer - Complementação dispensa 001017/2019</t>
  </si>
  <si>
    <t>Peça equipamento CEPARC (profª Ionara Pizzutti)</t>
  </si>
  <si>
    <t>Manutenção equipamento CEPARC (profª Ionara Pizzutti)</t>
  </si>
  <si>
    <t>Registro de Preço CCNE 2019</t>
  </si>
  <si>
    <t>Nº SIE</t>
  </si>
  <si>
    <t>Situação</t>
  </si>
  <si>
    <t>Hélio Líquido RMN - para 2019</t>
  </si>
  <si>
    <t>Gelo Seco CO2 para o DQ - para 2019</t>
  </si>
  <si>
    <t>Oxigênio Gasoso Industrial - para 2019</t>
  </si>
  <si>
    <t>D. Bioquímica</t>
  </si>
  <si>
    <t>Relicitação materiais para o dpto.</t>
  </si>
  <si>
    <t>D. Ecologia</t>
  </si>
  <si>
    <t>Caneta nanquim e linha para pipa</t>
  </si>
  <si>
    <t>Material Químico</t>
  </si>
  <si>
    <t>Relicitação de Vidrarias</t>
  </si>
  <si>
    <t>Relicitação de Produtos Químicos</t>
  </si>
  <si>
    <t>Aquisição de capela - Carmine</t>
  </si>
  <si>
    <t>25/02 - voltou para correções</t>
  </si>
  <si>
    <t xml:space="preserve">Hélio Líquido RMN </t>
  </si>
  <si>
    <t>Material Carmine</t>
  </si>
  <si>
    <t>14/03 - voltou - foi 01/04</t>
  </si>
  <si>
    <t>Gases</t>
  </si>
  <si>
    <t>Material de laboratório</t>
  </si>
  <si>
    <t>D. Física</t>
  </si>
  <si>
    <t>Gás Oxigênio 4.0 Analítico</t>
  </si>
  <si>
    <t>CAPPA</t>
  </si>
  <si>
    <t>Filamento impressora 3D</t>
  </si>
  <si>
    <t>02/04 - voltou - foi 02/04</t>
  </si>
  <si>
    <t>Adesivo epoxi e atadura</t>
  </si>
  <si>
    <t>28/03 - voltou - foi 02/04 - voltou 04/04</t>
  </si>
  <si>
    <t>Material agropecuário - Keiciane</t>
  </si>
  <si>
    <t>28/03 - voltou - foi 01/04</t>
  </si>
  <si>
    <t>Luva tamanho grande</t>
  </si>
  <si>
    <t>28/03 - voltou - foi 02/04</t>
  </si>
  <si>
    <t>Água oxigenada 10 volumes</t>
  </si>
  <si>
    <t>27/03 - voltou - foi 02/04</t>
  </si>
  <si>
    <t>Caixa plástica</t>
  </si>
  <si>
    <t>27/03 - voltou - foi 01/04</t>
  </si>
  <si>
    <t>Banco para laboratório</t>
  </si>
  <si>
    <t>Quentinhas</t>
  </si>
  <si>
    <t>Produtos químicos</t>
  </si>
  <si>
    <t>Banco de madeira</t>
  </si>
  <si>
    <t>Puff</t>
  </si>
  <si>
    <t>Material elétrico e eletrônico</t>
  </si>
  <si>
    <t>PPG Agrob</t>
  </si>
  <si>
    <t>Conserto Equipamento prof. Andre</t>
  </si>
  <si>
    <t>Produto odontológico</t>
  </si>
  <si>
    <t>Produto químico</t>
  </si>
  <si>
    <t>Frascos para o laboratório</t>
  </si>
  <si>
    <t>Material de laboratório - Carmine</t>
  </si>
  <si>
    <t>01/04 - voltou - foi 03/04</t>
  </si>
  <si>
    <t>Material de laboratório - Keiciane</t>
  </si>
  <si>
    <t>Serviço de adesivação</t>
  </si>
  <si>
    <t>01/04 - voltou por falta descrição - foi 01/04 com RP 536/16 que usei como base/cópia</t>
  </si>
  <si>
    <t>Material de laboratório - Raquel</t>
  </si>
  <si>
    <t>Placas de identificação</t>
  </si>
  <si>
    <t>Material de laboratório - Keiciane - Permanente</t>
  </si>
  <si>
    <t>01/04 - voltou - foi 03/04 - voltou 05/04 - foi 29/04</t>
  </si>
  <si>
    <t>Material de laboratório - Liliane</t>
  </si>
  <si>
    <t>03/04 - voltou</t>
  </si>
  <si>
    <t xml:space="preserve">Material de laboratório </t>
  </si>
  <si>
    <t>Luvas - Liliane</t>
  </si>
  <si>
    <t>Lidocaína</t>
  </si>
  <si>
    <t>Material de laboratório - Daniela</t>
  </si>
  <si>
    <t>03/04 - voltou - foi 23/04</t>
  </si>
  <si>
    <t>Material de laboratório - físico-química</t>
  </si>
  <si>
    <t>Microscópio</t>
  </si>
  <si>
    <t>Reagentes prof. Antonio</t>
  </si>
  <si>
    <t>Laser pointer, pincel e refil de pincel para o NI</t>
  </si>
  <si>
    <t>Material elétrico para o DQ</t>
  </si>
  <si>
    <t>Produto químico - Keiciane</t>
  </si>
  <si>
    <t>Material químico - Liliana</t>
  </si>
  <si>
    <t>Produto químico - Carmine</t>
  </si>
  <si>
    <t>Kit purificação PCR</t>
  </si>
  <si>
    <t>INFRA</t>
  </si>
  <si>
    <t>Massa corrida, torneira e kit caixa acoplada para NI</t>
  </si>
  <si>
    <t>Dispenser para sabonete líquido</t>
  </si>
  <si>
    <t>Vaso cachepô</t>
  </si>
  <si>
    <t>Tapete capacho</t>
  </si>
  <si>
    <t>Placas de sinalização - sanduiche</t>
  </si>
  <si>
    <t>Almofada para pallet</t>
  </si>
  <si>
    <t>Equipamentos</t>
  </si>
  <si>
    <t>Equipamentos para lab Alessandro</t>
  </si>
  <si>
    <t>Voltou engano 29/04 - foi 29/04</t>
  </si>
  <si>
    <t>Manutenção de projetor</t>
  </si>
  <si>
    <t>Equipamento Liliana</t>
  </si>
  <si>
    <t>Biblioteca</t>
  </si>
  <si>
    <t>Tatame de EVA para Biblioteca Setorial</t>
  </si>
  <si>
    <t>Limpador para quadro branco - Biblioteca</t>
  </si>
  <si>
    <t>Tapete Vinil antiderrapante para a Biblioteca Setorial</t>
  </si>
  <si>
    <t>Água mineral 500ml Biblioteca</t>
  </si>
  <si>
    <t>Cancelada pq tem no RP do almox</t>
  </si>
  <si>
    <t>Equipamentos para o lab físico-química</t>
  </si>
  <si>
    <t>Equipamentos para o lab Bioquímica</t>
  </si>
  <si>
    <t>Manutenção de geladeiras e bebedouros</t>
  </si>
  <si>
    <t>Serviço de análise de massas</t>
  </si>
  <si>
    <t>Serviço manutenção preventiva de microscópios</t>
  </si>
  <si>
    <t>Conserto Equipamento Carmine</t>
  </si>
  <si>
    <t>Voltou para justificar 18/06 - foi 25/06</t>
  </si>
  <si>
    <t>Voltou para justificar 18/06 - foi 25/06 - devolvido 02/07 - foi 12/07</t>
  </si>
  <si>
    <t>Hélio Líquido para o Napo e RMN</t>
  </si>
  <si>
    <t>Relicitação material de laboratório setor org.</t>
  </si>
  <si>
    <t>Relicitação produtos químicos setor org.</t>
  </si>
  <si>
    <t>Empenhos CCNE 2019</t>
  </si>
  <si>
    <t>Fluxo Orçamentário 2019</t>
  </si>
  <si>
    <t>Data SIAFI</t>
  </si>
  <si>
    <t>nº SIAFI</t>
  </si>
  <si>
    <t>Entrada de Recursos de Reformas</t>
  </si>
  <si>
    <t>Revitalização Fachada Prédio 13 CCNE</t>
  </si>
  <si>
    <t>Empenhos JANEIRO</t>
  </si>
  <si>
    <t>Reforma Auditório Prof. Lói Trindade CCNE</t>
  </si>
  <si>
    <t>Entrada de Recursos de Custeio - dotação inicial</t>
  </si>
  <si>
    <t>NECO</t>
  </si>
  <si>
    <t>Passagem aérea Nacional - Cerrado</t>
  </si>
  <si>
    <t>Transferência para PROINFRA - vidros - NI - 21/01</t>
  </si>
  <si>
    <t>Conserto ar INPE -OS 4838</t>
  </si>
  <si>
    <t>Transferência para PROINFRA - vidros - NI - 22/01</t>
  </si>
  <si>
    <t>Cópia de chave para secretaria da Direção do CCNE -sala 1119</t>
  </si>
  <si>
    <t>Repasse de recurso ref. 1º trim - em 04/02/2019</t>
  </si>
  <si>
    <t>Diárias Nacionais para o CCNE</t>
  </si>
  <si>
    <t>Saldo</t>
  </si>
  <si>
    <t>Bolsa Recursos Próprios CCNE</t>
  </si>
  <si>
    <t>Empenhos FEVEREIRO</t>
  </si>
  <si>
    <t>Protetor solar</t>
  </si>
  <si>
    <t>Transferência para POLI - arranjo - NDI - 07/02</t>
  </si>
  <si>
    <t>Suprimento de Fundos - serviço - Silvana</t>
  </si>
  <si>
    <t>Transferência para PROINFRA - vidros - NP - 14/02</t>
  </si>
  <si>
    <t>Suprimento de Fundos - material de consumo - Silvana</t>
  </si>
  <si>
    <t>Entrada de Recursos de Reformas - complementar</t>
  </si>
  <si>
    <t>Suprimento de Fundos - material de consumo - Cris</t>
  </si>
  <si>
    <t>Recebido do CAL - devolução empréstimo Hotel</t>
  </si>
  <si>
    <t>Suprimento de Fundos - serviço - Cris</t>
  </si>
  <si>
    <t>Transferência para IMPRENSA - Memo 006/IU - 18/02</t>
  </si>
  <si>
    <t>NInfo</t>
  </si>
  <si>
    <t>Carimbo Felipe</t>
  </si>
  <si>
    <t>Transferência para PROINFRA - ar - DQ - 22/02</t>
  </si>
  <si>
    <t>Instalação e manutenção de persianas - salas 1122 e 1124</t>
  </si>
  <si>
    <t>Serviço de Reprografia - CCNE - Contrato 3/2019 (0,15 a cópia)</t>
  </si>
  <si>
    <t>Conserto Condicionadores de Ar - OS 4860, 4861, 4862, 4867</t>
  </si>
  <si>
    <t>Empenhos MARÇO</t>
  </si>
  <si>
    <t>Diária Colaborador Eventual</t>
  </si>
  <si>
    <t>Repasse de recurso ref. 2º trim - em 07/03/2019</t>
  </si>
  <si>
    <t>Reforço Bolsa Recursos Próprios CCNE (326/19)</t>
  </si>
  <si>
    <t>Transferência para o Almox - 07/03</t>
  </si>
  <si>
    <t>Bolsa Formação CCNE</t>
  </si>
  <si>
    <t>Transferência para PROINFRA - ar - DQ - 15/03</t>
  </si>
  <si>
    <t>Conserto Condicionadores de Ar - OS 4870</t>
  </si>
  <si>
    <t>Recebido PRAE - Monitoria março</t>
  </si>
  <si>
    <t>Reforço Passagem aérea Nacional - Contrato 70/2018 - Cerrado</t>
  </si>
  <si>
    <t>Recebido da PROPLAN para DQ - gases</t>
  </si>
  <si>
    <t>Reforço Diárias Nacionais para o CCNE</t>
  </si>
  <si>
    <t>Recebido CT - reforma biblioteca INPE</t>
  </si>
  <si>
    <t>Troca de revestimento sofás 16A</t>
  </si>
  <si>
    <t>Empenhos ABRIL</t>
  </si>
  <si>
    <t>25 canetas laser point para NI</t>
  </si>
  <si>
    <t>Transferência para POLI - NDI - 01/04</t>
  </si>
  <si>
    <t>Serviço - sistema alarme incêndio - P13</t>
  </si>
  <si>
    <t>Transferência para Almox - 01/04</t>
  </si>
  <si>
    <t>Material - sistema alarme incêndio - P13</t>
  </si>
  <si>
    <t>Transferência para Editora - Curso - Esp. Esta. 09/04</t>
  </si>
  <si>
    <t>Serviço - sistema alarme incêndio - P17</t>
  </si>
  <si>
    <t>Transferência para o Biotério - D. Bioq. 11/04</t>
  </si>
  <si>
    <t>Material - sistema alarme incêndio - P17</t>
  </si>
  <si>
    <t>Recebimento multas Biblioteca - 11/04</t>
  </si>
  <si>
    <t>Serviço - sistema alarme incêndio - P18</t>
  </si>
  <si>
    <t>Transferência PROINFRA - conserto ar Biblio - 11/04</t>
  </si>
  <si>
    <t>Material - sistema alarme incêndio - P18</t>
  </si>
  <si>
    <t>Recebimento PRA - auxílio dispensa DQ CEPARC</t>
  </si>
  <si>
    <t>PERMANENTE - central de alarme incêndio - P13</t>
  </si>
  <si>
    <t>Recebimento para o DQ - nitrogênio - 18/04</t>
  </si>
  <si>
    <t>PERMANENTE - central de alarme incêndio - P17</t>
  </si>
  <si>
    <t>Recebido PRAE - Monitoria abril</t>
  </si>
  <si>
    <t>PERMANENTE - central de alarme incêndio - P18</t>
  </si>
  <si>
    <t>Recebido PROPLAN - Complementação Fachada</t>
  </si>
  <si>
    <t>Carimbo</t>
  </si>
  <si>
    <t>Transfência para o LAMI - até 30/03/19</t>
  </si>
  <si>
    <t>C. Química</t>
  </si>
  <si>
    <t>Carimbos para o Diretório Acadêmico (DAQIB)</t>
  </si>
  <si>
    <t>Empenhos MAIO</t>
  </si>
  <si>
    <t>D. Ecol</t>
  </si>
  <si>
    <t>Substituição de Revestimento de sofá</t>
  </si>
  <si>
    <t>Transferência para a UAP do CCR - 06/05/19</t>
  </si>
  <si>
    <t>Álcool etílico hidratado</t>
  </si>
  <si>
    <t>Recebido PROPLAN - Instalação Janela P18</t>
  </si>
  <si>
    <t>Lâminas de vidro</t>
  </si>
  <si>
    <t>Recebido PRAE - Monitoria maio</t>
  </si>
  <si>
    <t>Lamínula de vidro</t>
  </si>
  <si>
    <t>Transferência para CCR - Correios - 21/05</t>
  </si>
  <si>
    <t>Caixa para armazenamento</t>
  </si>
  <si>
    <t>Transferência para POLI - flores - JB - 27/05</t>
  </si>
  <si>
    <t>D. Bioq</t>
  </si>
  <si>
    <t>Material de laboratório para aulas práticas</t>
  </si>
  <si>
    <t>Transferência para IMPRENSA - Memo 072/IU - 27/05</t>
  </si>
  <si>
    <t>Repasse de recurso PERMANENTE - em 27/05/2019</t>
  </si>
  <si>
    <t>Empenhos JUNHO</t>
  </si>
  <si>
    <t>Transferência para a PROPLAN ref. Duplicidade DQ</t>
  </si>
  <si>
    <t>EPIs para o DQ</t>
  </si>
  <si>
    <t>Recebido do Poli - LARP/DQ</t>
  </si>
  <si>
    <t>Aditivo Revitalização Fachada Prédio 13 CCNE</t>
  </si>
  <si>
    <t>Recebimento multas Biblioteca - 07/06</t>
  </si>
  <si>
    <t>Dispensa DQ - recurso PROPLAN</t>
  </si>
  <si>
    <t>Transferência PROINFRA - vidros D.Eco - 17/06</t>
  </si>
  <si>
    <t>Recebido da PRAE - viagem Rivaldo - 17/06</t>
  </si>
  <si>
    <t>Carimbos para docentes</t>
  </si>
  <si>
    <t>Recebido PRAE - Monitoria junho</t>
  </si>
  <si>
    <t>Troca de piso do hall dos fundos do 13</t>
  </si>
  <si>
    <t>Recebido da PROGRAD - viagem Rivaldo - 26/06</t>
  </si>
  <si>
    <t>D. Matem</t>
  </si>
  <si>
    <t>Instalação e manutenção de persianas - salas 1213, 1214, 1215, 1224, 1226, 1227, 1230, 1234 e 1235A</t>
  </si>
  <si>
    <t>Detector de tensão</t>
  </si>
  <si>
    <t>Empenhos JULHO</t>
  </si>
  <si>
    <t>Estanho</t>
  </si>
  <si>
    <t>Transferência PROINFRA - Dbio - ar - 04/07</t>
  </si>
  <si>
    <t>Material de laboratório - prof. André Schuch</t>
  </si>
  <si>
    <t>Dispensa DQ - recurso PRA - 08/07</t>
  </si>
  <si>
    <t>Recebido do CT - tutor</t>
  </si>
  <si>
    <t>Produto químico para o laboratório - prof. André Schuch</t>
  </si>
  <si>
    <t>Recebido Pró-Revista</t>
  </si>
  <si>
    <t>Recebido PRAE - Monitoria julho</t>
  </si>
  <si>
    <t>Recebido COPLEC - Reforma auditório</t>
  </si>
  <si>
    <t>Transferido PROINFRA - Vidros D. Ecol</t>
  </si>
  <si>
    <t>Material de laboratório aulas práticas</t>
  </si>
  <si>
    <t>Recebido CCSH - tutor</t>
  </si>
  <si>
    <t>Transferência para Almox - 30/07</t>
  </si>
  <si>
    <t>C. Física</t>
  </si>
  <si>
    <t>Carimbo para o Curso de Física</t>
  </si>
  <si>
    <t>Recebimento multas Biblioteca - 29/07</t>
  </si>
  <si>
    <t>PPGBTox</t>
  </si>
  <si>
    <t>Carimbos</t>
  </si>
  <si>
    <t>Reforma banheiro sala 1058 - INPE</t>
  </si>
  <si>
    <t>Empenhos AGOSTO</t>
  </si>
  <si>
    <t>Divisória biblioteca - INPE (tentar recurso com CT)</t>
  </si>
  <si>
    <t>Recebido CCR - tutor</t>
  </si>
  <si>
    <t>Inicial Bolsa Monitoria</t>
  </si>
  <si>
    <t>Recebido CCS - tutor</t>
  </si>
  <si>
    <t>Troca de porta de madeira</t>
  </si>
  <si>
    <t>Transfência para o LAMI - até jul/19</t>
  </si>
  <si>
    <t>Oxigênio</t>
  </si>
  <si>
    <t xml:space="preserve">Transferência para a Biblioteca Central - ref. caixa etiquetas </t>
  </si>
  <si>
    <t>Jardim</t>
  </si>
  <si>
    <t>Dispensa DQ - recurso Direção - 14/08</t>
  </si>
  <si>
    <t>Monitores para o Núcleo de Informática</t>
  </si>
  <si>
    <t>anulado</t>
  </si>
  <si>
    <t>Transferência para Transporte - 16/08</t>
  </si>
  <si>
    <t>Transferência para Biotério - 19/08</t>
  </si>
  <si>
    <t>Transferência para IMPRENSA - Memo 120/IU - 21/08</t>
  </si>
  <si>
    <t>Recebido PRAE - Monitoria agosto</t>
  </si>
  <si>
    <t>Pen drive 16GB</t>
  </si>
  <si>
    <t>Transferência para Almox - 26/08</t>
  </si>
  <si>
    <t>Pen drive 32GB</t>
  </si>
  <si>
    <t>Transferência para Floresce - INFRA - 29/08</t>
  </si>
  <si>
    <t>Passagem aérea Nacional - Compra Direta</t>
  </si>
  <si>
    <t>Produto para uso em experimentos - prof. Sara</t>
  </si>
  <si>
    <t>Empenhos SETEMBRO</t>
  </si>
  <si>
    <t>D. Geo</t>
  </si>
  <si>
    <t>40 Pen Drive de 32Gb</t>
  </si>
  <si>
    <t>Transferência para Floresce - NDI - 06/09</t>
  </si>
  <si>
    <t>5 HD Externo de 2Tb</t>
  </si>
  <si>
    <t>Dispensa DBiol - 09/09</t>
  </si>
  <si>
    <t>Produtos para pesquisa prof. Daniel</t>
  </si>
  <si>
    <t>Transferência para Almox - 11/09</t>
  </si>
  <si>
    <t>Taxa de inscrição prof. Dirceu</t>
  </si>
  <si>
    <t>Transferência para Ru - D. Bioq - 12/09</t>
  </si>
  <si>
    <t>Serviço de chave - NI</t>
  </si>
  <si>
    <t>Transferência para PROINFRA - vidros - 13/09</t>
  </si>
  <si>
    <t>Carimbo para o Curso de Física - EAD</t>
  </si>
  <si>
    <t>Transferência para Almox - 18/09</t>
  </si>
  <si>
    <t>Cópia de chave Central de Tutoria e UAP</t>
  </si>
  <si>
    <t>Recebido PRAE - Monitoria setembro</t>
  </si>
  <si>
    <t>40 Camisetas coloridas para a Bibioteca Setorial do CCNE</t>
  </si>
  <si>
    <t>Transferência para Almox - 23/09</t>
  </si>
  <si>
    <t>PPGEMEF</t>
  </si>
  <si>
    <t>Carimbo coordenador substituto</t>
  </si>
  <si>
    <t>Transferência para ECOINOVAR - 26/09 - C. Est</t>
  </si>
  <si>
    <t>Cópia de chave comun e tetra</t>
  </si>
  <si>
    <t>Transferência para IMPRENSA - 27/09</t>
  </si>
  <si>
    <t>Divisória sala 3011 INPE - memo 110/2019CM - 06/2019-NI</t>
  </si>
  <si>
    <t>Empenhos OUTUBRO</t>
  </si>
  <si>
    <t>Taxa de inscrição Waterloo Pereira Filho</t>
  </si>
  <si>
    <t>Transferência para IMPRENSA - 04/10</t>
  </si>
  <si>
    <t>10 Válvulas para mictório</t>
  </si>
  <si>
    <t>Transferência para TRANSPORTE - 04/10</t>
  </si>
  <si>
    <t>Deslocamento de parede sala 2999 P19 - memo 107/2019CM - 01/2019-Deco</t>
  </si>
  <si>
    <t>Transferência para PROGRAD (C. Est) - 04/10</t>
  </si>
  <si>
    <t xml:space="preserve">Divisória sala 3011 INPE - memo 120/2019CM </t>
  </si>
  <si>
    <t>PPGAgrobio</t>
  </si>
  <si>
    <t>Taxa de publicação Solange - "Medidas de estômatos..."</t>
  </si>
  <si>
    <t>Recebido REITORIA - Reforma auditorio 10/10</t>
  </si>
  <si>
    <t>Taxa de publicação Solange - "Potencial Antiproliferativo.."</t>
  </si>
  <si>
    <t>Transferência para ECOINOVAR - 10/10 - D. Est</t>
  </si>
  <si>
    <t>Taxa de publicação Solange - "Extratos de Achyrocline..."</t>
  </si>
  <si>
    <t>Transferência para ECOINOVAR - 14/10 - D. Est</t>
  </si>
  <si>
    <t>10 baterias seladas</t>
  </si>
  <si>
    <t>Recebido PRAE - Monitoria out. nov. e dez.</t>
  </si>
  <si>
    <t>Taxa inscrição - Anemari</t>
  </si>
  <si>
    <t>Dispensa DQ - Ionara</t>
  </si>
  <si>
    <t>PPGMat</t>
  </si>
  <si>
    <t>Taxa inscrição - Andressa</t>
  </si>
  <si>
    <t>Repasse de recurso ref complementação - em 30/10/2019</t>
  </si>
  <si>
    <t>Taxa inscrição - Saradia</t>
  </si>
  <si>
    <t>Transferência PROINFRA - ar Herbário</t>
  </si>
  <si>
    <t>Taxa inscrição Thiago - 350 dólares</t>
  </si>
  <si>
    <t>Locação 2 tanques criogênicos - verba PRA</t>
  </si>
  <si>
    <t>Gelo Seco - verba PRA</t>
  </si>
  <si>
    <t>Nitrogênio Líquido - verba PRA</t>
  </si>
  <si>
    <t>Porta de vidro - Memo 109/2019CM - 10/2019NI</t>
  </si>
  <si>
    <t>Reforço Monitoria</t>
  </si>
  <si>
    <t>Taxa inscrição Cristiane - memo 15/2019</t>
  </si>
  <si>
    <t>Taxa inscrição Cristiane - memo 16/2019</t>
  </si>
  <si>
    <t>Eppendorf</t>
  </si>
  <si>
    <t>Hospedagem (10) e Alimentação (20)</t>
  </si>
  <si>
    <t>Reforço - Revitalização da Fachada do 13</t>
  </si>
  <si>
    <t>C. Quím. Ind</t>
  </si>
  <si>
    <t>Produto químico para o laboratório - prof. Vania Loro</t>
  </si>
  <si>
    <t>Taxa de inscrição - Wellington</t>
  </si>
  <si>
    <t>Material de laboratório - prof. Vania Loro</t>
  </si>
  <si>
    <t>Suprimento de Fundos - consumo - Cris</t>
  </si>
  <si>
    <t>Anulação Parcial - Contrato 70/2018 - Cerrado</t>
  </si>
  <si>
    <t>anulação</t>
  </si>
  <si>
    <t>Reforço - Passagem aérea Nacional - Compra Direta</t>
  </si>
  <si>
    <t>Produto químico - setor Química Analítica</t>
  </si>
  <si>
    <t>Vidrarias - setor Química Analítica</t>
  </si>
  <si>
    <t>Lâmpada projetor multimídia - setor Química Analítica</t>
  </si>
  <si>
    <t>Luvas - setor Química Analítica</t>
  </si>
  <si>
    <t>Vidrarias - setor Química Orgânica</t>
  </si>
  <si>
    <t>Complementação alarme de inêndio - Memo 59/19 - NPI</t>
  </si>
  <si>
    <t>Mangueiras condicionadores de ar - corredor do bar - OS 5032</t>
  </si>
  <si>
    <t>Taxa inscrição - Ricardo Farais</t>
  </si>
  <si>
    <t>Anulação parcial - cartão supri - Cris</t>
  </si>
  <si>
    <t>Anulação parcial - cartão supri - Silvana</t>
  </si>
  <si>
    <t>Material para laboratório - Élgion</t>
  </si>
  <si>
    <t>Instalação janela subestação prédio 18 - recurso PROPLAN</t>
  </si>
  <si>
    <t>Taxa inscrição - Fernando Tura</t>
  </si>
  <si>
    <t>UAP</t>
  </si>
  <si>
    <t>Carimbo - Daíse UAP</t>
  </si>
  <si>
    <t>Conserto ar-sala de aula 1433 prédio 17-memo 21/19NI-OS5048</t>
  </si>
  <si>
    <t>Conserto ar-sala 1328 prédio 18 -memo 8 e 15/19NI-OS5049</t>
  </si>
  <si>
    <t>Conserto fechadura Hall P13</t>
  </si>
  <si>
    <t>Reforço - Bolsa Monitoria maio</t>
  </si>
  <si>
    <t>D. Estatística</t>
  </si>
  <si>
    <t>Conserto Condicionador de Ar Memo 11/19DE e OS 5050</t>
  </si>
  <si>
    <t>Ressarcimento de passagem rodoviária - Carlos - Concurso</t>
  </si>
  <si>
    <t>Taxa de inscrição Robaina</t>
  </si>
  <si>
    <t>Taxa de inscrição Romário</t>
  </si>
  <si>
    <t>11 cópias de chave de armários para Biblioteca CCNE</t>
  </si>
  <si>
    <t>Cópia de chave comum para o JB</t>
  </si>
  <si>
    <t>Conserto ar - Memo 16/2019 - OS 5051</t>
  </si>
  <si>
    <t>10 Computadores para o Laboratório Info D. Estatística</t>
  </si>
  <si>
    <t>Computador para o NECO</t>
  </si>
  <si>
    <t>Computador para o Dpto. Geociências</t>
  </si>
  <si>
    <t>2 Computadores para o laboratório de Ensino da Matemática</t>
  </si>
  <si>
    <t>Taxa inscrição André Ary Leonel - Memo 27/2019</t>
  </si>
  <si>
    <t>Instalação de capelas de exaustão</t>
  </si>
  <si>
    <t>Conserto ar - sala 1433 P17 e lab info mat 1235A</t>
  </si>
  <si>
    <t>Manutenção de equipamento</t>
  </si>
  <si>
    <t>3 mesas para os anfiteatros A, B1 e B2, 1 mesa para LDMI</t>
  </si>
  <si>
    <t>Dois Agitadores Magnéticos - química analítica</t>
  </si>
  <si>
    <t>Colorímetro - química analítica</t>
  </si>
  <si>
    <t>Agitador/Aquecedor - química inorgânica</t>
  </si>
  <si>
    <t>Bomba de vácuo - química orgânica</t>
  </si>
  <si>
    <t>Condicionador de ar 30.000BTUs para Herbário</t>
  </si>
  <si>
    <t>2 Computadores</t>
  </si>
  <si>
    <t>4 Condicionadores de ar para o INPE</t>
  </si>
  <si>
    <t>4 Mesas para laboratórios didáticos</t>
  </si>
  <si>
    <t>24 Cadeiras para laboratórios didáticos</t>
  </si>
  <si>
    <t>2 Armários Guarda-volumes de aço para laboratório</t>
  </si>
  <si>
    <t>Mesa em L para laboratório</t>
  </si>
  <si>
    <t>Lava Olhos (RP do DF)</t>
  </si>
  <si>
    <t>Medidor de pH (SQIA)</t>
  </si>
  <si>
    <t>Espectrofotometro</t>
  </si>
  <si>
    <t>Anulação -11 cópias de chave de armários para Biblioteca CCNE</t>
  </si>
  <si>
    <t>4 cópias de chave de armários para Biblioteca CCNE</t>
  </si>
  <si>
    <t xml:space="preserve">2 Condicionadores de ar </t>
  </si>
  <si>
    <t>2 Ventiladores de coluna de 60cm para Biblioteca Setorial</t>
  </si>
  <si>
    <t>Projetor para o anfi C e para o lab ensino mat</t>
  </si>
  <si>
    <t>2 Lousas para Infra</t>
  </si>
  <si>
    <t>Phmetro - Laboratório de Físico-Química</t>
  </si>
  <si>
    <t>Agitador magnético - Laboratório de Físico-Química</t>
  </si>
  <si>
    <t>C. Proc. Químicos</t>
  </si>
  <si>
    <t xml:space="preserve">Medidor de pH </t>
  </si>
  <si>
    <t>2 Condicionadores de ar para o Dpto. Matemática</t>
  </si>
  <si>
    <t>2 Mesas de professor</t>
  </si>
  <si>
    <t>2 Cadeiras Executivas giratórias</t>
  </si>
  <si>
    <t>Mesa linear</t>
  </si>
  <si>
    <t>Anulação -Monitores para o Núcleo de Informática</t>
  </si>
  <si>
    <t>Quentinha para o Prédio 18</t>
  </si>
  <si>
    <t>Microscópio Biológico Trinocular</t>
  </si>
  <si>
    <t>Iluminação salas 1303, 1305A e 1305B - Memo 22/19 - Setor Elétrica</t>
  </si>
  <si>
    <t xml:space="preserve">devolvido em 16/07 - a pedido Caren - Tramitado pelo NECO em 19/07, com alteração de valor </t>
  </si>
  <si>
    <t>Oxigênio - Laboratório de Físico-Química</t>
  </si>
  <si>
    <t>Carimbo Antonio NINFRA</t>
  </si>
  <si>
    <t>Conserto fechadura prédio 16A</t>
  </si>
  <si>
    <t>Conserto fechadura Dpto. Física</t>
  </si>
  <si>
    <t xml:space="preserve">Ecobags para a Oficina de Inverno </t>
  </si>
  <si>
    <t>Troca de segredo de fechadura - D. Ecologia</t>
  </si>
  <si>
    <t>Reforço - Bolsa RP</t>
  </si>
  <si>
    <t>Carga de gás para lab prof. Nilda</t>
  </si>
  <si>
    <t>Reforço - Bolsa Monitoria junho</t>
  </si>
  <si>
    <t>Reforço - Bolsa Formação</t>
  </si>
  <si>
    <t>NDI</t>
  </si>
  <si>
    <t>Ecobags</t>
  </si>
  <si>
    <t>Três poltronas para auditório C</t>
  </si>
  <si>
    <t>3 Condicionadores de ar para o DMat</t>
  </si>
  <si>
    <t>Projetor para o NINFRA</t>
  </si>
  <si>
    <t>C. Bio</t>
  </si>
  <si>
    <t>Locação de lonão de 10X10 para PETBio</t>
  </si>
  <si>
    <t>Taxa inscrição ENEM - Camila P. Giacomelli</t>
  </si>
  <si>
    <t>170 - cancelado</t>
  </si>
  <si>
    <t>Taxa inscrição ENEM - Vartieli L. Viero</t>
  </si>
  <si>
    <t>Taxa inscrição ENEM - Iasmim M. Noro</t>
  </si>
  <si>
    <t>Taxa inscrição ENEM - Maieli M. Crestani</t>
  </si>
  <si>
    <t>Cadeiras para Silveira Martins - Cristian</t>
  </si>
  <si>
    <t>Armário para Silveira Martins - Cristian</t>
  </si>
  <si>
    <t>Mesa de reunião para Silveira Martins - Cristian</t>
  </si>
  <si>
    <t>Ar condicionado para Silveira Martins - Cristian</t>
  </si>
  <si>
    <t>Dois gaveteiros para Silveira Martins - Cristian</t>
  </si>
  <si>
    <t>Massa Corrida para o NINFRA</t>
  </si>
  <si>
    <t>Torneiras automáticas para o NINFRA</t>
  </si>
  <si>
    <t>Taxa publicação prof. Solange - Biosfera</t>
  </si>
  <si>
    <t>Calibração e certificação de balanças</t>
  </si>
  <si>
    <t>Taxa de inscrição profª Vanessa</t>
  </si>
  <si>
    <t>C. Meteoro</t>
  </si>
  <si>
    <t>Taxa de inscrição - Cleber Bisognin</t>
  </si>
  <si>
    <t>Taxa de publicação - Augusto da Silva</t>
  </si>
  <si>
    <t>Manutenção de persianas - 04, 08, 15, 19, 03 e entrada</t>
  </si>
  <si>
    <t>Aquisição e Instalação de persianas - 04, 08, 15, 19, 03 e entrada</t>
  </si>
  <si>
    <t>PPGeo</t>
  </si>
  <si>
    <t xml:space="preserve">Anuidade ANPEGE </t>
  </si>
  <si>
    <t>Reforço - Bolsa Monitoria julho</t>
  </si>
  <si>
    <t>Bolsa Pró-Revista CCNE</t>
  </si>
  <si>
    <t>Reforço Bolsa Recursos Próprios CCNE</t>
  </si>
  <si>
    <t>Anulação - Taxa inscrição Thiago - 350 dólares</t>
  </si>
  <si>
    <t>Conserto ar cassete Biblioteca - OS 5120</t>
  </si>
  <si>
    <t>Locação de Tanque Nitrogênio Líq. - Verba PRA (serviço)</t>
  </si>
  <si>
    <t>Manutenção de persianas salas 1235-A e 1327-B (prédio 13)</t>
  </si>
  <si>
    <t>Manutenção de persianas sala 1123 (prédio 13) - Memo 311</t>
  </si>
  <si>
    <t>Manutenção de persianas salas 1140-A e 1140-I- Memos 156,157</t>
  </si>
  <si>
    <t>PPGECQVS</t>
  </si>
  <si>
    <t>Manutenção de persianas auditório e laboratórios - Memo 312</t>
  </si>
  <si>
    <t>Manutenção de persianas - Memos. 148,150,151 e 315</t>
  </si>
  <si>
    <t>Anulação - Deslocamento de parede sala 2999 P19 - memo 107/2019CM - 01/2019-Deco</t>
  </si>
  <si>
    <t>Reforço - Reforma auditório - Lói Trindade</t>
  </si>
  <si>
    <t>Conserto ar Ines - sala 1218C, P13 - OS 5123</t>
  </si>
  <si>
    <t>Alarme incêndio P18 - Memo 81/2019 - NPI - material</t>
  </si>
  <si>
    <t>Alarme incêndio P18 - Memo 81/2019 - NPI - serviço</t>
  </si>
  <si>
    <t>Reabastecedores para NINFRA</t>
  </si>
  <si>
    <t>Anulação do saldo do empenho da Compra Direta SCDP</t>
  </si>
  <si>
    <t>Anulação do saldo do suprimento Cris</t>
  </si>
  <si>
    <t>Formol para laboratório</t>
  </si>
  <si>
    <t>Álcool Etílico para laboratório</t>
  </si>
  <si>
    <t>Instalação de persiana Memo 49/19-DQ - 337/19 e 334/19 CM</t>
  </si>
  <si>
    <t>Carimbos para o Departamento de Estatística</t>
  </si>
  <si>
    <t>Sinalização complementar</t>
  </si>
  <si>
    <t>Conserto camêra de vigilância - Memo 28/19</t>
  </si>
  <si>
    <t>Material de laboratório para pesquisa e aula prática</t>
  </si>
  <si>
    <t>Reforço Bolsa Monitoria agosto</t>
  </si>
  <si>
    <t>Taxa de inscrição - Maria Cecília</t>
  </si>
  <si>
    <t>30488,17voltou - falta de saldo contratual</t>
  </si>
  <si>
    <t>Porta sala 1110, P13, Memo 351/2019CM - tutoria</t>
  </si>
  <si>
    <t xml:space="preserve">Divisória DABio, P 16 - memo 350/2019CM </t>
  </si>
  <si>
    <t>Taxa de inscrição - Leonice</t>
  </si>
  <si>
    <t>Conserto ar PPGECQVS - memo 24/2019 - OS 5102</t>
  </si>
  <si>
    <t>Iluminação prédio 13, 16A, 15B - Material</t>
  </si>
  <si>
    <t>Iluminação prédio 13, 16A, 15B - Serviço</t>
  </si>
  <si>
    <t>Instalação de persianas- Memo 385/19 CM - sala 1302B e 1304A</t>
  </si>
  <si>
    <t>Material para laboratório - prof. André</t>
  </si>
  <si>
    <t>Reagentes para o laboratório de físico-química</t>
  </si>
  <si>
    <t>Conserto de BOD - prof. Andre Ulguim</t>
  </si>
  <si>
    <t>Oxigênio gasoso industrial</t>
  </si>
  <si>
    <t>Reforma da sala 1131B - Memo 370/19CM</t>
  </si>
  <si>
    <t>Troca piso em frente a cozinha P13 - Memo 379/19CM</t>
  </si>
  <si>
    <t>Troca piso fundos lancheria P13 - Memo 380/19CM</t>
  </si>
  <si>
    <t>Reforma da sala 1123, P13 - Memo 381/19CM</t>
  </si>
  <si>
    <t>Lixamento de parquet sala 1326B, P13 - Memo 382/19CM</t>
  </si>
  <si>
    <t>Troca de porta sala 4102, P20 - Memo 386/19CM</t>
  </si>
  <si>
    <t>Reforço Hospedagem e Alimentação</t>
  </si>
  <si>
    <t>Conserto refrigerador</t>
  </si>
  <si>
    <t>Formaldeído</t>
  </si>
  <si>
    <t>Ágar</t>
  </si>
  <si>
    <t>Ágar bacteriológico</t>
  </si>
  <si>
    <t>Álcool etílico</t>
  </si>
  <si>
    <t>Vaselina Líquida</t>
  </si>
  <si>
    <t>Parafina</t>
  </si>
  <si>
    <t>Papel alumínio</t>
  </si>
  <si>
    <t>Lamparina a álcool</t>
  </si>
  <si>
    <t>Espátula</t>
  </si>
  <si>
    <t>Seringa</t>
  </si>
  <si>
    <t>Myo-Inositol</t>
  </si>
  <si>
    <t>Químico para lab prof. Elgion</t>
  </si>
  <si>
    <t>Material de laboratório prof. Elgion</t>
  </si>
  <si>
    <t>Material de laboratório prof. Sara</t>
  </si>
  <si>
    <t>Conserto ar sala 1302A, P13 - OS 5195</t>
  </si>
  <si>
    <t>Material de laboratório - prof. Sara</t>
  </si>
  <si>
    <t>Vidraria química analítica</t>
  </si>
  <si>
    <t>Produtos químicos para química analítica</t>
  </si>
  <si>
    <t>Luvas para química analítica</t>
  </si>
  <si>
    <t>Cimento cola e Cal</t>
  </si>
  <si>
    <t>Reforço Bolsa Monitoria setembro</t>
  </si>
  <si>
    <t>Reagentes para laboratório Marlise</t>
  </si>
  <si>
    <t>Material de laboratório Marlise</t>
  </si>
  <si>
    <t>Álcool Etílico lab. Ecologia e Evolução</t>
  </si>
  <si>
    <t>Reagentes para aulas de genética</t>
  </si>
  <si>
    <t>Reagentes para aulas de genética básica</t>
  </si>
  <si>
    <t>Material para aula de genética básica</t>
  </si>
  <si>
    <t>Reagentes para aula de genética básica</t>
  </si>
  <si>
    <t>Produto Químico para o SQIA</t>
  </si>
  <si>
    <t>Reagentes para laboratório Lizandra</t>
  </si>
  <si>
    <t>Vidrarias para o SQIA</t>
  </si>
  <si>
    <t>Luvas de segurança para o SQIA</t>
  </si>
  <si>
    <t>Materiais para laboratório Lizandra</t>
  </si>
  <si>
    <t>Reforço Bolsa Formação set/19</t>
  </si>
  <si>
    <t>Vidraria</t>
  </si>
  <si>
    <t>Produto químico setor inorgânica</t>
  </si>
  <si>
    <t>Vidraria setor inorgânica</t>
  </si>
  <si>
    <t>Luvas setor inorgânica</t>
  </si>
  <si>
    <t>Lâminas para laboratório Lizandra</t>
  </si>
  <si>
    <t>EPIs setor inorgânica</t>
  </si>
  <si>
    <t>Produto químico setor orgânica</t>
  </si>
  <si>
    <t>Vidraria setor orgânica</t>
  </si>
  <si>
    <t>Eppendorf para lab Marlise</t>
  </si>
  <si>
    <t>Ponteira para lab Marlise</t>
  </si>
  <si>
    <t>Álcool etílico para laboratório Lizandra</t>
  </si>
  <si>
    <t>Manutenção persianas DF - Memo 404/2019CM - sala 1320A</t>
  </si>
  <si>
    <t>Instalação de persianas DF - Memo 387/2019CM - sala 112, 113, 1054, 1057, 1059, 1061 - INPE</t>
  </si>
  <si>
    <t>Correios CCNE</t>
  </si>
  <si>
    <t>Reforço Bolsa RP</t>
  </si>
  <si>
    <t xml:space="preserve">Reforço Cerrado - passagens aéreas </t>
  </si>
  <si>
    <t>Locação de impressoras para o CCNE.</t>
  </si>
  <si>
    <t>Material de laboratório - Sara</t>
  </si>
  <si>
    <t>Lixamento e aplicação de laca sala 1302A, P13 - Memo 401/19CM</t>
  </si>
  <si>
    <t>Banheiro químico para o Paleodia</t>
  </si>
  <si>
    <t>Hélio líquido do DQ - recurso da PRA</t>
  </si>
  <si>
    <t>Manutenção de persianas - Memo 400/2019CM</t>
  </si>
  <si>
    <t>Instalação de persianas - Memo 400/2019CM</t>
  </si>
  <si>
    <t>Reforço reforma do auditório - Recurso REITORIA</t>
  </si>
  <si>
    <t>Carimbo para Jocelito</t>
  </si>
  <si>
    <t>Locação de impressoras para o CCNE/NECO</t>
  </si>
  <si>
    <t>Adequação do Almoxarifado do DQ</t>
  </si>
  <si>
    <t>Capacitor para o DF</t>
  </si>
  <si>
    <t>Reforço Bolsa Formação CCNE</t>
  </si>
  <si>
    <t>Reforço Bolsa Monitoria CCNE</t>
  </si>
  <si>
    <t>Reforço - Correios CCNE</t>
  </si>
  <si>
    <t>Placas sanduíche</t>
  </si>
  <si>
    <t>Placas bandeira</t>
  </si>
  <si>
    <t>Taxa de inscrição Cris</t>
  </si>
  <si>
    <t>Taxa de inscrição Rozi</t>
  </si>
  <si>
    <t>Taxa de inscrição Estela</t>
  </si>
  <si>
    <t>Conserto ar auditório - OS 5216</t>
  </si>
  <si>
    <t>Complemento empenho 401249, ref. oxigenio para lab. fisio-quimica</t>
  </si>
  <si>
    <t>Conserto ar auditório B2 - OS 5220</t>
  </si>
  <si>
    <t>Reforço reforma do auditório - Recurso do Centro</t>
  </si>
  <si>
    <t>Instalação de venezianas e esquadria</t>
  </si>
  <si>
    <t>Medidas para evitar morcegos P 17 - Memo 040/19</t>
  </si>
  <si>
    <t>Reforma CAPPA</t>
  </si>
  <si>
    <t>Anulação parcial de diárias Internacionais para o CCNE</t>
  </si>
  <si>
    <t>Passagens rodoviárias contrato Planalto Transp.</t>
  </si>
  <si>
    <t>Taxa de inscrição Leonice</t>
  </si>
  <si>
    <t>DIREÇÃO</t>
  </si>
  <si>
    <t>Compra de 350 poltronas para o auditório C</t>
  </si>
  <si>
    <t>Aquisição de 10 cadeiras sem braço, para o auditório C.</t>
  </si>
  <si>
    <t xml:space="preserve">Aquisição de sofas para o auditório C. </t>
  </si>
  <si>
    <t>Produto químico para o setor de Quimíca Inorgânica</t>
  </si>
  <si>
    <t>Produto químico para o setor de Quimíca Inorgânica/DQ</t>
  </si>
  <si>
    <t>Vidrarias para o setor de Química Inorgânica/DQ</t>
  </si>
  <si>
    <t>Agitador para o setor de Química Inorgânica</t>
  </si>
  <si>
    <t>Diárias e Passagens 2019</t>
  </si>
  <si>
    <t>Diárias e Passagens TAEs</t>
  </si>
  <si>
    <t>Recurso disponível para a Subunidade</t>
  </si>
  <si>
    <t>(-) Despesas totais até a presente data</t>
  </si>
  <si>
    <t>(=) Saldo disponível nesta data</t>
  </si>
  <si>
    <t>TAEs</t>
  </si>
  <si>
    <t>Data</t>
  </si>
  <si>
    <t>Documento</t>
  </si>
  <si>
    <t>Histórico</t>
  </si>
  <si>
    <t>Departamentos</t>
  </si>
  <si>
    <t>Passagem rodoviária - SMXPOAXSM - Wellington</t>
  </si>
  <si>
    <t>Biologia</t>
  </si>
  <si>
    <t>000972/19</t>
  </si>
  <si>
    <t>Diárias e passagens aéreas - Wellington</t>
  </si>
  <si>
    <t>Bioquímica e Biologia Molecular</t>
  </si>
  <si>
    <t>000981/19</t>
  </si>
  <si>
    <t>Diárias e passagens aéreas - Rozi</t>
  </si>
  <si>
    <t>Ecologia e Evolução</t>
  </si>
  <si>
    <t>000982/19</t>
  </si>
  <si>
    <t>Diárias e passagens aéreas - Daíse</t>
  </si>
  <si>
    <t>Estatística</t>
  </si>
  <si>
    <t>Passagem rodoviária - POAXSM - Rozi</t>
  </si>
  <si>
    <t>Física</t>
  </si>
  <si>
    <t xml:space="preserve">Passagem rodoviária - POAXSM - Daise </t>
  </si>
  <si>
    <t>fim primeiro edital</t>
  </si>
  <si>
    <t>Geociências</t>
  </si>
  <si>
    <t>002732/19</t>
  </si>
  <si>
    <t>Diárias e passagens aéreas - Ana Lucia</t>
  </si>
  <si>
    <t>Matemática</t>
  </si>
  <si>
    <t xml:space="preserve">Passagem rodoviária - SMXPOAXSM - Ana Lucia </t>
  </si>
  <si>
    <t>Química</t>
  </si>
  <si>
    <t>002756/19</t>
  </si>
  <si>
    <t>Diárias - Flávio</t>
  </si>
  <si>
    <t xml:space="preserve">Passagem rodoviária - SMXPOAXSM - Flávio </t>
  </si>
  <si>
    <t>002757/19</t>
  </si>
  <si>
    <t>Diárias - Leonardo</t>
  </si>
  <si>
    <t>Passagem rodoviária - SMXPOAXSM - Leonardo</t>
  </si>
  <si>
    <t>Passagem rodoviária - POAXSM - Leonardo (a ser adquirida)</t>
  </si>
  <si>
    <t>002760/19</t>
  </si>
  <si>
    <t>Passagens aéreas - Leonardo</t>
  </si>
  <si>
    <t>Passagem rodoviária - SMXPOA - Leonice (a ser adquirida)</t>
  </si>
  <si>
    <t>002778/19</t>
  </si>
  <si>
    <t>Diárias e passagens aéreas - Leonice</t>
  </si>
  <si>
    <t>Passagem rodoviária - POAXSM - Leonice (a ser adquirida)</t>
  </si>
  <si>
    <t>002779/19</t>
  </si>
  <si>
    <t>002803/19</t>
  </si>
  <si>
    <t>Diárias e passagens aéreas - Shaiane</t>
  </si>
  <si>
    <t>Passagem rodoviária - SMXPOAXSM - Shaiane</t>
  </si>
  <si>
    <t>002821/19</t>
  </si>
  <si>
    <t>Diárias - Tania</t>
  </si>
  <si>
    <t xml:space="preserve">Passagem rodoviária - SMXPOAXSM - Tania </t>
  </si>
  <si>
    <t>002850/19</t>
  </si>
  <si>
    <t>Diárias e passagens aéreas - Cristiele</t>
  </si>
  <si>
    <t>Passagem rodoviária - SMXPOAXSM - Cristiele (a ser adquirida)</t>
  </si>
  <si>
    <t>002851/19</t>
  </si>
  <si>
    <t>Diárias e passagens aéreas - Estela</t>
  </si>
  <si>
    <t>Passagem rodoviária - SMXPOAXSM - Estela (a ser adquirida)</t>
  </si>
  <si>
    <t>002852/19</t>
  </si>
  <si>
    <t>Diárias e passagens aéreas - Rozieli</t>
  </si>
  <si>
    <t>Passagem rodoviária - SMXPOAXSM - Rozieli (a ser adquirida)</t>
  </si>
  <si>
    <t>002822/19</t>
  </si>
  <si>
    <t>Diárias e passagens aéreas - Monica</t>
  </si>
  <si>
    <t>Passagem rodoviária - SMXPOAXSM - Monica (a ser adquirida)</t>
  </si>
  <si>
    <t>002937/19</t>
  </si>
  <si>
    <t>Diárias e passagens aéreas - Pablo</t>
  </si>
  <si>
    <t>Passagem rodoviária - SMXPOAXSM - Pablo (a ser adquirida)</t>
  </si>
  <si>
    <t>Transferido saldo para Dpto. Ecologia - troca custeio</t>
  </si>
  <si>
    <t>Ministério da Educação</t>
  </si>
  <si>
    <t>Universidade Federal de Santa Maria - Centro de Ciências Naturais e Exatas - CCNE</t>
  </si>
  <si>
    <t>Controle Financeiro - Exercício 2019</t>
  </si>
  <si>
    <t>Recurso Orçamentário Liberado</t>
  </si>
  <si>
    <t>Clique na Subunidade para ir à planilha</t>
  </si>
  <si>
    <t>Subunidades</t>
  </si>
  <si>
    <t>% Distribuição Custeio</t>
  </si>
  <si>
    <t>% Distribuição Diárias e Passagens</t>
  </si>
  <si>
    <t>Recurso Liberado</t>
  </si>
  <si>
    <t>Recurso Utilizado</t>
  </si>
  <si>
    <t>Saldo Disponível</t>
  </si>
  <si>
    <t>Custeio (R$)</t>
  </si>
  <si>
    <t>Diárias e Passagens (R$)</t>
  </si>
  <si>
    <t>Permanente (R$)</t>
  </si>
  <si>
    <t>Cursos</t>
  </si>
  <si>
    <t>Estatistica</t>
  </si>
  <si>
    <t>Geografia</t>
  </si>
  <si>
    <t>Meteorologia</t>
  </si>
  <si>
    <t>Química industrial</t>
  </si>
  <si>
    <t>Tecnologia Processo Químicos</t>
  </si>
  <si>
    <t>PPGs</t>
  </si>
  <si>
    <t>Agrobiologia</t>
  </si>
  <si>
    <t xml:space="preserve">Bioquímica </t>
  </si>
  <si>
    <t>Biodiversidade Animal</t>
  </si>
  <si>
    <t>Educação Matemática e Ensino de Física</t>
  </si>
  <si>
    <t xml:space="preserve">Física </t>
  </si>
  <si>
    <t xml:space="preserve">Matemática </t>
  </si>
  <si>
    <t>Química da Vida e Saúde</t>
  </si>
  <si>
    <t>Profmat</t>
  </si>
  <si>
    <t>Diretórios</t>
  </si>
  <si>
    <t>Administração CCNE</t>
  </si>
  <si>
    <t>Cappa</t>
  </si>
  <si>
    <t>Jardim botânico</t>
  </si>
  <si>
    <t>Revista</t>
  </si>
  <si>
    <t>Total</t>
  </si>
  <si>
    <t>Recursos Liberados</t>
  </si>
  <si>
    <t>Obs.: Conforme Reunião do Conselho do Centro, de 18/03/2019, as Diárias e Passagens serão distribuídas da seguinte forma: 5% do total para a Direção para cobrir concurso de Titular, Semana Acadêmica Integrada e Recepção dos Calouros; dos 95% restantes, 30% para os TAES, mediante dois editais anuais, 70% para os Departamentos, dividido conforme o número de professores.</t>
  </si>
  <si>
    <t>Curso de Ciências Biológicas</t>
  </si>
  <si>
    <t>Voltar (Planilha Geral)</t>
  </si>
  <si>
    <t>Custeio</t>
  </si>
  <si>
    <t>Diárias e Passagens</t>
  </si>
  <si>
    <t>Permanente</t>
  </si>
  <si>
    <t>Bolsa formação - Renan - abril</t>
  </si>
  <si>
    <t>Correios - 21/03</t>
  </si>
  <si>
    <t>Bolsa formação - Bruna e Cassiano - maio - memo 18 e 20</t>
  </si>
  <si>
    <t>Estorno saldo Almoxarifado Central</t>
  </si>
  <si>
    <t>Bolsa formação - Andressa, Daniel e Lisie - jun - memo 36, 38 e 39</t>
  </si>
  <si>
    <t>007115/2019</t>
  </si>
  <si>
    <t>Recebido do Dpto. Biologia ref. 50% Locação lonão</t>
  </si>
  <si>
    <t>Correios - 17/07</t>
  </si>
  <si>
    <t>Bolsa formação - Daniela - ago - memo 58</t>
  </si>
  <si>
    <t>Banner da JAI</t>
  </si>
  <si>
    <t>Transferência para Combustível - gastos até fim do ano</t>
  </si>
  <si>
    <t xml:space="preserve">Bolsa formação - memorando 68, 69, 70 e 71/2019 </t>
  </si>
  <si>
    <t>Recolhimento do recurso cfe. Memo Circular 02/2019 DEMAPA/DCF</t>
  </si>
  <si>
    <t>SALDO COMBUSTÍVEIS</t>
  </si>
  <si>
    <t>TOTAL</t>
  </si>
  <si>
    <t>Curso de Estatística</t>
  </si>
  <si>
    <t>Requisição do Almoxarifado Central</t>
  </si>
  <si>
    <t>Bolsa RP - jun/19</t>
  </si>
  <si>
    <t>Bolsa formação - Aldiara, Daíse e Matisa - jun - memo 09, 10, 11, 12/2019</t>
  </si>
  <si>
    <t>Bolsa RP - jul/19</t>
  </si>
  <si>
    <t>Requisição do Almoxarifado Central - 10 estabilizadores</t>
  </si>
  <si>
    <t>Transferência para almoxarifado central - gastos até fim do ano</t>
  </si>
  <si>
    <t>Bolsa RP - Descubra</t>
  </si>
  <si>
    <t xml:space="preserve">Bolsa formação - memorando 21 e 22/2019 </t>
  </si>
  <si>
    <t>Transferência referente à inscrição ECOINOVAR do Fernando, Jaiser e Ricardo</t>
  </si>
  <si>
    <t>Transferência para PROGRAD - bolsa Descubra</t>
  </si>
  <si>
    <t>SALDO IMPRENSA</t>
  </si>
  <si>
    <t>Banner - 13/05/19</t>
  </si>
  <si>
    <t>Flayers (06/08/19) e Banners (05/09/19)</t>
  </si>
  <si>
    <t>SALDO ALMOXARIFADO CENTRAL 2019</t>
  </si>
  <si>
    <t>Curso de Física</t>
  </si>
  <si>
    <t>Bolsa formação - Helena - memorando 01/2019 CF</t>
  </si>
  <si>
    <t>Bolsa formação - Gabriel - memorando 02/2019 CF</t>
  </si>
  <si>
    <t>Bolsa formação - Bruna e Lucas - memorando 04 e 05/2019 CF</t>
  </si>
  <si>
    <t>Curso de Geografia</t>
  </si>
  <si>
    <t>Bolsa RP - jan/19</t>
  </si>
  <si>
    <t>Bolsa RP - fev/19</t>
  </si>
  <si>
    <t>Bolsa RP - mar/19</t>
  </si>
  <si>
    <t>Bolsa RP - abr/19</t>
  </si>
  <si>
    <t>Bolsa formação - Amanda, Antonio, Ellen e Wilson - Memo 17 e 18</t>
  </si>
  <si>
    <t>Bolsa RP - mai/19</t>
  </si>
  <si>
    <t>Recebido em troca pela imprensa - Memo 22/19-CG</t>
  </si>
  <si>
    <t>Recebido em troca pelo Combustível - cfe. E-mail dessa data</t>
  </si>
  <si>
    <t>Bolsa formação - Marineli e Marizete - Memo 29</t>
  </si>
  <si>
    <t>Bolsa RP - ago/19</t>
  </si>
  <si>
    <t>Bolsa RP - set/19</t>
  </si>
  <si>
    <t>Troca por custeio - e-mail dessa data</t>
  </si>
  <si>
    <t>PPC (27/02/19)</t>
  </si>
  <si>
    <t>Troca por custeio - Memo 22/19-CG</t>
  </si>
  <si>
    <t>Banner (02/07/19) Oçto 2548</t>
  </si>
  <si>
    <t>Curso de Matemática</t>
  </si>
  <si>
    <t>Recebido do Dpto. de Matemática em troca de custeio</t>
  </si>
  <si>
    <t>Bolsa Formação - Ana Paula, Bruna, Isadora e Sabrina - memo 25, 26, 27 e 28/2019</t>
  </si>
  <si>
    <t>Passagem rodoviária - SMXPOAXSM - Ana Luiza Golin</t>
  </si>
  <si>
    <t>Bolsa Formação - Ana Luiza - memo 31/2019</t>
  </si>
  <si>
    <t>Transferido para o Dpto. de Matemática em troca de Passagens</t>
  </si>
  <si>
    <t>Passagem rodoviária - SMXPOAXSM - Andrei Berres</t>
  </si>
  <si>
    <t>Bolsa Formação - Andrei - memo 37/2019</t>
  </si>
  <si>
    <t>Correios - 03/06</t>
  </si>
  <si>
    <t>Passagem rodoviária - SMXPOAXSM - Ana, Camila, Carlos, Gabriel, Gustavo, Isadora e Viviane</t>
  </si>
  <si>
    <t>Curso de Meteorologia</t>
  </si>
  <si>
    <t>007646/2019</t>
  </si>
  <si>
    <t>Carimbos para Curso de Meteorologia</t>
  </si>
  <si>
    <t>Bolsa formação - Leonardo e Débora - memo 5/19</t>
  </si>
  <si>
    <t xml:space="preserve">Bolsa formação - memorando 6/19 </t>
  </si>
  <si>
    <t>IMPRENSA</t>
  </si>
  <si>
    <t>Curso de Química Licenciatura</t>
  </si>
  <si>
    <t>Transferido para Direção, cfe. E-mail desta data</t>
  </si>
  <si>
    <t xml:space="preserve">Bolsa formação - memorando 27/2019 </t>
  </si>
  <si>
    <t>Transferência para Imprensa - gastos até fim do ano</t>
  </si>
  <si>
    <t xml:space="preserve">Bolsa formação - memorando 29 e 30/2019 </t>
  </si>
  <si>
    <t>Banner (21/08/19) e Folder (10/09/19)</t>
  </si>
  <si>
    <t>Curso de Química Industrial e Bacharelado</t>
  </si>
  <si>
    <t>001783/2019</t>
  </si>
  <si>
    <t>004234/2019</t>
  </si>
  <si>
    <t>Correios - 09/07</t>
  </si>
  <si>
    <t>Correios - 14/08 e 26/08</t>
  </si>
  <si>
    <t>Bolsa formação - memorando 22 e 23 e 24/2019 QI/QB</t>
  </si>
  <si>
    <t>Transferência para imprensa - gastos até fim do ano</t>
  </si>
  <si>
    <t>Banner - 10/06/19</t>
  </si>
  <si>
    <t>Curso de Tecnologia em Processos Químicos</t>
  </si>
  <si>
    <t>Transferido para o DQ (aquisição de Phmetro)</t>
  </si>
  <si>
    <t>006019/2019</t>
  </si>
  <si>
    <t xml:space="preserve">Bolsa formação - memorando 16/2019 </t>
  </si>
  <si>
    <t>PPG em Agrobiologia</t>
  </si>
  <si>
    <t>Correios - 17/06</t>
  </si>
  <si>
    <t>010065/2019</t>
  </si>
  <si>
    <t>Requisição de Almoxarifado Central</t>
  </si>
  <si>
    <t>Correios - Sedex - 11/07</t>
  </si>
  <si>
    <t>010872/2019</t>
  </si>
  <si>
    <t>010197/2019</t>
  </si>
  <si>
    <t>Metade - Taxa de inscrição - Leonice</t>
  </si>
  <si>
    <t>Taxa inscrição Leonice</t>
  </si>
  <si>
    <t>Pró-reparo 2019</t>
  </si>
  <si>
    <t>PPG em Bioquímica Toxicológica</t>
  </si>
  <si>
    <t>007715/2019</t>
  </si>
  <si>
    <t>009406/2019</t>
  </si>
  <si>
    <t>011375/2019</t>
  </si>
  <si>
    <t>PPG em Biodiversidade Animal</t>
  </si>
  <si>
    <t>004952/2019</t>
  </si>
  <si>
    <t>006939/2019</t>
  </si>
  <si>
    <t>Correios - 24/06</t>
  </si>
  <si>
    <t>011901/2019</t>
  </si>
  <si>
    <t>Transferido para direção - cfe. E-mail</t>
  </si>
  <si>
    <t>Transferido para o Correio, para cobrir negativo</t>
  </si>
  <si>
    <t>Oçtos 2888 e 2889 de 20/08/19</t>
  </si>
  <si>
    <t>SALDO CORREIOS</t>
  </si>
  <si>
    <t>Sedex - 17/01</t>
  </si>
  <si>
    <t>Sedex - 01/04</t>
  </si>
  <si>
    <t>Sedex - 01/03 e 14/03</t>
  </si>
  <si>
    <t>Sedex - 03/09</t>
  </si>
  <si>
    <t>Recebido do custeio</t>
  </si>
  <si>
    <t>PPG em Educação Matemática e Ensino de Física</t>
  </si>
  <si>
    <t>003572/2019</t>
  </si>
  <si>
    <t>003746/2019</t>
  </si>
  <si>
    <t>003743/2019</t>
  </si>
  <si>
    <t>003994/2019</t>
  </si>
  <si>
    <t>005591/2019</t>
  </si>
  <si>
    <t>NF 12101</t>
  </si>
  <si>
    <t>Cartão de suprimento - adaptador wireless - 16/05</t>
  </si>
  <si>
    <t>PPG em Física</t>
  </si>
  <si>
    <t>000082/19</t>
  </si>
  <si>
    <t>Passagem aérea e diárias - Carara - troca PRPGP</t>
  </si>
  <si>
    <t>Correios - 18/01</t>
  </si>
  <si>
    <t>Recebido da Direção como empréstimo até receber PROAP</t>
  </si>
  <si>
    <t>Banner - 19/11/18</t>
  </si>
  <si>
    <t>Recebido do PROAP para devolver empréstimo</t>
  </si>
  <si>
    <t>Repassado para Direção em troca do empréstimo</t>
  </si>
  <si>
    <t>004025/2019</t>
  </si>
  <si>
    <t>004028/2019</t>
  </si>
  <si>
    <t>004468/2019</t>
  </si>
  <si>
    <t>006042/2019</t>
  </si>
  <si>
    <t>006044/2019</t>
  </si>
  <si>
    <t>006858/2019</t>
  </si>
  <si>
    <t>007767/2019</t>
  </si>
  <si>
    <t>Correios - 13/05</t>
  </si>
  <si>
    <t>Correios - 04/06</t>
  </si>
  <si>
    <t>Correios - 23/08</t>
  </si>
  <si>
    <t>012768/2019</t>
  </si>
  <si>
    <t>PPG em Geografia</t>
  </si>
  <si>
    <t>Sedex - 14/02</t>
  </si>
  <si>
    <t>Cartaz - Imprensa - 23/04/19</t>
  </si>
  <si>
    <t>007869/2019</t>
  </si>
  <si>
    <t>LAMI - Conserto CPU - Liliane - 04/07/19</t>
  </si>
  <si>
    <t>Transferido para Transporte para cobrir negativo</t>
  </si>
  <si>
    <t>SALDO COMBUSTÍVEL</t>
  </si>
  <si>
    <t>OT 517 e 543 - 19/05 e 22/05/2019</t>
  </si>
  <si>
    <t>OT 743 - 26/06/2019</t>
  </si>
  <si>
    <t>OT 858 - 16/07/2019</t>
  </si>
  <si>
    <t>Recebido para cobrir negativo</t>
  </si>
  <si>
    <t>Pedido Almox 013108/2019</t>
  </si>
  <si>
    <t>PPG em Matemática</t>
  </si>
  <si>
    <t>003675/2019</t>
  </si>
  <si>
    <t>001414/19</t>
  </si>
  <si>
    <t>Diárias e Passagens Aéreas - Fernando</t>
  </si>
  <si>
    <t>003676/2019</t>
  </si>
  <si>
    <t>Recebido do Dpto. Matemática em troca de custeio</t>
  </si>
  <si>
    <t>004612/2019</t>
  </si>
  <si>
    <t>Passagens Rodoviárias - SMxPOAxSM - Fernando</t>
  </si>
  <si>
    <t>Banner - 19/12/18</t>
  </si>
  <si>
    <t>Transferido para o Dpto. Matemática em troca de diárias</t>
  </si>
  <si>
    <t>005658/2019</t>
  </si>
  <si>
    <t>Correios</t>
  </si>
  <si>
    <t>PPG em Meteorologia</t>
  </si>
  <si>
    <t>Transferência para Almoxarifado Central - cfe. e-mail</t>
  </si>
  <si>
    <t>Banner - 20/11/18</t>
  </si>
  <si>
    <t>Correios - 24/04</t>
  </si>
  <si>
    <t>PPG em Química</t>
  </si>
  <si>
    <t>OBS.:</t>
  </si>
  <si>
    <t>Não receberá recursos em 2018 em função de pagamento de NF 33781 de R$ 33.078,80</t>
  </si>
  <si>
    <t>PPG em Educação em Ciências: Química da Vida e Saúde</t>
  </si>
  <si>
    <t>NF 51684</t>
  </si>
  <si>
    <t>Cartão de suprimento - descarga prof. Luiz</t>
  </si>
  <si>
    <t>Combustível ref. 27/02/2019</t>
  </si>
  <si>
    <t>LAMI - conserto CPU Gisandro - 09/10/18</t>
  </si>
  <si>
    <t>NF 51907</t>
  </si>
  <si>
    <t>Cartão de suprimento - botão para caixa de descarga</t>
  </si>
  <si>
    <t>Correios - Sedex - 20/03</t>
  </si>
  <si>
    <t>Bolsa formação - Diuliana, Josiane e Thiago - Memo 18/2019</t>
  </si>
  <si>
    <t>Combustível ref. OT 166 - 25/02/19</t>
  </si>
  <si>
    <t>Correios - Sedex - 16/06</t>
  </si>
  <si>
    <t>Imprensa - banner - 03/09/19</t>
  </si>
  <si>
    <t>PPG em Estatística e Modelagem Quantitativa</t>
  </si>
  <si>
    <t>Transferência para Editora - Taxa Inscrição II PROPAGUE - Adriano</t>
  </si>
  <si>
    <t>Transferência para Editora - Taxa Inscrição II PROPAGUE - Luciane</t>
  </si>
  <si>
    <t>Transferência para Editora - Taxa Inscrição II PROPAGUE - Roselaine</t>
  </si>
  <si>
    <t xml:space="preserve">Bolsa formação - memorando 23/2019 </t>
  </si>
  <si>
    <t>Banners - 31/10 e 01/11/18</t>
  </si>
  <si>
    <t>Banner - 02/07/19</t>
  </si>
  <si>
    <t>Banner - 12/09/19</t>
  </si>
  <si>
    <t>Mestrado Profissional em Matemática em Rede Nacional - PROFMAT</t>
  </si>
  <si>
    <t>000244/19</t>
  </si>
  <si>
    <t>Diárias eventual - Cydara (antecipação recurso CAPES)</t>
  </si>
  <si>
    <t>Sedex - 24/01</t>
  </si>
  <si>
    <t>Recebido da Direção como empréstimo até receber CAPES</t>
  </si>
  <si>
    <t>Sedex - 13/02</t>
  </si>
  <si>
    <t>002655/19</t>
  </si>
  <si>
    <t>Diárias Ricardo - banca (Rio Grande X SM)</t>
  </si>
  <si>
    <t>Passagens rodoviárias Ricardo - banca (Rio Grande X SM)</t>
  </si>
  <si>
    <t>Departamento de Biologia</t>
  </si>
  <si>
    <t>001207/2019</t>
  </si>
  <si>
    <t>Diárias para Maurício Figuera - FIEX Liliana</t>
  </si>
  <si>
    <t>001208/2019</t>
  </si>
  <si>
    <t>Diárias para Bianca Schindler - FIEX Liliana</t>
  </si>
  <si>
    <t>Transferência para o Almoxarifado Central, cfe. e-mail desta data</t>
  </si>
  <si>
    <t>000383/2019</t>
  </si>
  <si>
    <t>Diárias Hilda</t>
  </si>
  <si>
    <t>002886/19</t>
  </si>
  <si>
    <t>Passagens aéreas - Carmine</t>
  </si>
  <si>
    <t>LAMI - limpeza CPU Jussara - 25/09/18</t>
  </si>
  <si>
    <t>002889/19</t>
  </si>
  <si>
    <t>Diárias - Liliana</t>
  </si>
  <si>
    <t>LAMI - limpeza CPU Keiciane - 08/10/18</t>
  </si>
  <si>
    <t>002983/19</t>
  </si>
  <si>
    <t>Diárias motorista Claudio - Cachoeira do Sul</t>
  </si>
  <si>
    <t>LAMI - conserto CPU Rogerio - 22/11/18</t>
  </si>
  <si>
    <t>003637/19</t>
  </si>
  <si>
    <t>Diárias motorista Mauro - Novo Cabrais</t>
  </si>
  <si>
    <t>LAMI - conserto CPU José - 27/11/18</t>
  </si>
  <si>
    <t>Transporte 15/04/2019</t>
  </si>
  <si>
    <t>Correios - Sedex - 29/03</t>
  </si>
  <si>
    <t>NF 252181 e 252182</t>
  </si>
  <si>
    <t>Cartão de suprimento - conserto bancada lab 3130</t>
  </si>
  <si>
    <t>Imprensa - cartaz, crachá, adesivo, banner - 17/04/19</t>
  </si>
  <si>
    <t>NF 255983</t>
  </si>
  <si>
    <t>Cartão de suprimento - fita para conserto de bancadas</t>
  </si>
  <si>
    <t>Transferido para o Curso de Biologia ref. 50% Locação lonão</t>
  </si>
  <si>
    <t>Transferência para a PROINFRA - ref. Instalação de condicionadores de ar salas 3110 e 3109 - P16 - Memo 156/2019COPA (02/2019DBio)</t>
  </si>
  <si>
    <t>NF 6489</t>
  </si>
  <si>
    <t>Cartão de suprimento - Purgador</t>
  </si>
  <si>
    <t>NF 6895</t>
  </si>
  <si>
    <t>Cartão de suprimento - Filtro</t>
  </si>
  <si>
    <t>NF 6590</t>
  </si>
  <si>
    <t>Cartão de suprimento - Óleo para compressor</t>
  </si>
  <si>
    <t>LAMI - Conserto CPU - Keiciane - 09/05/19</t>
  </si>
  <si>
    <t>LAMI - Conserto Impressora - Rosemaria - 08/07/19</t>
  </si>
  <si>
    <t>LAMI - Conserto Impressora - Sylvio - 09/07/19</t>
  </si>
  <si>
    <t>Combustível - OT 693 - ref. junho/2019</t>
  </si>
  <si>
    <t>Dispensa de Licitação para Conserto Ultrafreezer - Complementação dispensa 001017/2019</t>
  </si>
  <si>
    <t>Transferido para a PROINFRA ref. Vidros Ticket 2019091004003376</t>
  </si>
  <si>
    <t>NF 55722</t>
  </si>
  <si>
    <t>Cartão de suprimento - Material para instalação de ar</t>
  </si>
  <si>
    <t>NF 69186</t>
  </si>
  <si>
    <t>TRANSPORTES</t>
  </si>
  <si>
    <t>OT 1096, 1130, 1181 - ref. Set/19</t>
  </si>
  <si>
    <t>Departamento de Bioquímica e Biologia Molecular</t>
  </si>
  <si>
    <t>001430/2019</t>
  </si>
  <si>
    <t>Diárias para prof. André</t>
  </si>
  <si>
    <t>Passagens rodoviárias - SM X POA X SM - André</t>
  </si>
  <si>
    <t>001950/2019</t>
  </si>
  <si>
    <t>003451/2019</t>
  </si>
  <si>
    <t>Diárias para prof. Daniel</t>
  </si>
  <si>
    <t>Passagens rodoviárias - SM X POA X SM - Daniel</t>
  </si>
  <si>
    <t>003564/2019</t>
  </si>
  <si>
    <t>Diárias para prof. Vania</t>
  </si>
  <si>
    <t>003565/2019</t>
  </si>
  <si>
    <t>Diárias para prof. Elgion</t>
  </si>
  <si>
    <t>Saldo não utilizado</t>
  </si>
  <si>
    <t>Transferência para o Biotério</t>
  </si>
  <si>
    <t>LAMI - limpeza CPU Maria - 04/09/18</t>
  </si>
  <si>
    <t>LAMI - limpeza CPU Ana Lúcia - 14/09/18</t>
  </si>
  <si>
    <t>LAMI - limpeza CPU Nilda - 08/10/18</t>
  </si>
  <si>
    <t>LAMI - conserto CPU João - 22/01/19</t>
  </si>
  <si>
    <t>LAMI - conserto CPU João - 08/02/19</t>
  </si>
  <si>
    <t>Correios - Sedex - 11/03</t>
  </si>
  <si>
    <t>Estorno Requisição 009138/2019 do Almoxarifado Central</t>
  </si>
  <si>
    <t>Recibo 1546</t>
  </si>
  <si>
    <t>Tinta PVA Almoxarifado Central</t>
  </si>
  <si>
    <t>LAMI - Conserto CPU - Ana Lucia - 16/04/19</t>
  </si>
  <si>
    <t>LAMI - Conserto CPU - João Batista - 25/04/19</t>
  </si>
  <si>
    <t>Correios - Sedex - 05/07</t>
  </si>
  <si>
    <t>Transferência para o Biotério - prof. Félix</t>
  </si>
  <si>
    <t xml:space="preserve">Transferência para RU ref. 15 caixas de toucas </t>
  </si>
  <si>
    <t>Departamento de Estatística</t>
  </si>
  <si>
    <t>Diárias Gramado - Renata</t>
  </si>
  <si>
    <t>Banner 29/08/18</t>
  </si>
  <si>
    <t>Diárias Gramado - Ramírez</t>
  </si>
  <si>
    <t>Diárias Panambi - Adriano</t>
  </si>
  <si>
    <t>NF 404</t>
  </si>
  <si>
    <t>Cartão de suprimento - material para instalação Split Angela</t>
  </si>
  <si>
    <t>Diárias Panambi - Roselaine</t>
  </si>
  <si>
    <t>Transferido para a Direção em troca de custeio</t>
  </si>
  <si>
    <t>Diárias POA - Fábio</t>
  </si>
  <si>
    <t>Passagens rodoviária SMA POA SMA - Fábio</t>
  </si>
  <si>
    <t>LAMI - conserto CPU Jorge - 27/11/18</t>
  </si>
  <si>
    <t>LAMI - conserto CPU Jorge - 06/12/18</t>
  </si>
  <si>
    <t>Correios - sedex 17/04</t>
  </si>
  <si>
    <t>Transferência para Gráfica - para cobrir negativo</t>
  </si>
  <si>
    <t>Banner 22/03/19</t>
  </si>
  <si>
    <t>LAMI - Conserto Impressora - Jorge - 06/06/19</t>
  </si>
  <si>
    <t>LAMI - Conserto Impressora - Jorge - 16/07/19</t>
  </si>
  <si>
    <t>Repassado para Direção do CCNE para cobrir negativo</t>
  </si>
  <si>
    <t>Recebido da Direção em troca de diárias</t>
  </si>
  <si>
    <t>Requisição do Almoxarifado Central - 5 estabilizadores</t>
  </si>
  <si>
    <t>Banner 30/08/19</t>
  </si>
  <si>
    <t>Transferência da Prof. Roselaine R. Zanini para ECOINOVAR</t>
  </si>
  <si>
    <t>Transferência da Prof. Angela Isabel dos Santos Dulius para ECOINOVAR</t>
  </si>
  <si>
    <t>Banner 29/08/18, crachás 16/10/18</t>
  </si>
  <si>
    <t>Departamento de Ecologia e Evolução</t>
  </si>
  <si>
    <t>Transferência para o almoxarifado central - cfe. e-mail</t>
  </si>
  <si>
    <t>000960/19</t>
  </si>
  <si>
    <t>Passagens aéreas - Carlos Peres - PPGBA</t>
  </si>
  <si>
    <t>001045/19</t>
  </si>
  <si>
    <t>Diárias motorista - Sergio</t>
  </si>
  <si>
    <t>003101/19</t>
  </si>
  <si>
    <t>Diárias Andressa</t>
  </si>
  <si>
    <t>003102/19</t>
  </si>
  <si>
    <t>Diárias Marlise</t>
  </si>
  <si>
    <t>003116/19</t>
  </si>
  <si>
    <t>Diárias Cristian</t>
  </si>
  <si>
    <t>003118/19</t>
  </si>
  <si>
    <t>Diárias Nilton</t>
  </si>
  <si>
    <t>003127/19</t>
  </si>
  <si>
    <t>Diárias Sandro</t>
  </si>
  <si>
    <t>003128/19</t>
  </si>
  <si>
    <t>Recebido do saldo do recurso do edital dos TAES, em troca de custeio</t>
  </si>
  <si>
    <t>Correios - 08/02</t>
  </si>
  <si>
    <t>LAMI - Conserto CPU - Shaiane - 17/12/18</t>
  </si>
  <si>
    <t>Transferido para Correios para cobrir negativo abril</t>
  </si>
  <si>
    <t>Estorno 6115/19 e 6116/19 - Almoxarifado Central</t>
  </si>
  <si>
    <t>Transferência para a PROINFRA - vidros - ticket#2019061104009285</t>
  </si>
  <si>
    <t xml:space="preserve">Troca de segredo de fechadura </t>
  </si>
  <si>
    <t>NF 883303</t>
  </si>
  <si>
    <t>Cartão de suprimento - Durepox</t>
  </si>
  <si>
    <t>NF 41829</t>
  </si>
  <si>
    <t>Cartão de suprimento - Bucha</t>
  </si>
  <si>
    <t>Transferência para PROINFRA - vidros sala 1124 - P13</t>
  </si>
  <si>
    <t>Correios - 22/08 e 30/08</t>
  </si>
  <si>
    <t>Transferência para Direção em troca de diárias - recurso dos TAEs</t>
  </si>
  <si>
    <t>NF 913252</t>
  </si>
  <si>
    <t>Cartão de suprimento - Rejunte, Conector e tampa</t>
  </si>
  <si>
    <t>Recebido da Direção para cobrir negativo</t>
  </si>
  <si>
    <t>Correios - 05/04 e 16/04</t>
  </si>
  <si>
    <t>OT 476 - ref. 08/05/19</t>
  </si>
  <si>
    <t>Departamento de Física</t>
  </si>
  <si>
    <t>000730/19</t>
  </si>
  <si>
    <t>Diárias e passagens - Hélio - concurso</t>
  </si>
  <si>
    <t>NF 1028 e 9510</t>
  </si>
  <si>
    <t>Cartão de suprimento - mangueiras Neiva</t>
  </si>
  <si>
    <t>000710/19</t>
  </si>
  <si>
    <t>Diárias e passagens - Roderick - concurso</t>
  </si>
  <si>
    <t>000738/19</t>
  </si>
  <si>
    <t>Diárias - Carlos - concurso</t>
  </si>
  <si>
    <t>000751/19</t>
  </si>
  <si>
    <t>Diárias - Cristiane</t>
  </si>
  <si>
    <t>Passagem rodoviária - POA X SM - Roderik - concurso</t>
  </si>
  <si>
    <t>Passagem rodoviária - POA X SM - Helio - concurso</t>
  </si>
  <si>
    <t>Passagem rodoviária - SM X POA - Helio - concurso</t>
  </si>
  <si>
    <t>Passagem rodoviária - SM X POA- Roderik - concurso</t>
  </si>
  <si>
    <t>000730/19C</t>
  </si>
  <si>
    <t>000710/19C</t>
  </si>
  <si>
    <t>Passagem rodoviária - SM X POA X SM- Villetti</t>
  </si>
  <si>
    <t>001655/19</t>
  </si>
  <si>
    <t>Passagens aéreas - Ricardo Farias</t>
  </si>
  <si>
    <t>001669/19</t>
  </si>
  <si>
    <t>Diárias e Passagens aéreas - Mombach</t>
  </si>
  <si>
    <t>NF 248587</t>
  </si>
  <si>
    <t>Cartão de suprimento - manutenção mesas Cristiane</t>
  </si>
  <si>
    <t>Passagem rodoviária - SM X POA X SM - Cristiane</t>
  </si>
  <si>
    <t>002373/19</t>
  </si>
  <si>
    <t>Diárias - Thiago Burgo</t>
  </si>
  <si>
    <t>Passagem rodoviária - SM X POA X SM - Orimar</t>
  </si>
  <si>
    <t>Passagem rodoviária - SM X POA X SM - Mombach</t>
  </si>
  <si>
    <t>Passagem rodoviária - SM X POA - Ricardo</t>
  </si>
  <si>
    <t>Passagem rodoviária - POA X SM - Ricardo</t>
  </si>
  <si>
    <t>002537/19</t>
  </si>
  <si>
    <t>Diárias e passagens - Sandro</t>
  </si>
  <si>
    <t>003600/19</t>
  </si>
  <si>
    <t>Diárias - Vania</t>
  </si>
  <si>
    <t>LAMI - Conserto projetor - Everson - 11/09/18</t>
  </si>
  <si>
    <t>LAMI - Conserto CPU - Everson - 11/09/18</t>
  </si>
  <si>
    <t>LAMI - Conserto CPU - Daniel - 30/10/18</t>
  </si>
  <si>
    <t>LAMI - Conserto CPU - Daniel - 20/11/18</t>
  </si>
  <si>
    <t>LAMI - Conserto CPU - Daniel - 27/11/18</t>
  </si>
  <si>
    <t>LAMI - Conserto impressora - Rogemar - 03/12/18</t>
  </si>
  <si>
    <t>LAMI - Conserto CPU - Diego - 17/12/18</t>
  </si>
  <si>
    <t>Correios - sedex 12/04</t>
  </si>
  <si>
    <t>NF 34096</t>
  </si>
  <si>
    <t>Cartão de suprimento - Massa tapa tudo</t>
  </si>
  <si>
    <t>Imprensa - couché - pet física - 13/03/19</t>
  </si>
  <si>
    <t>Correios - sedex 21/05, 23/05 e 27/05</t>
  </si>
  <si>
    <t>LAMI - Conserto CPUs - Diego - 28/03/19</t>
  </si>
  <si>
    <t>LAMI - Conserto CPU - Vania - 23/04/19</t>
  </si>
  <si>
    <t>LAMI - Conserto CPU - Cesar Lobo - 29/04/19</t>
  </si>
  <si>
    <t>NF 6893</t>
  </si>
  <si>
    <t>Cartão de suprimento - peças para conserto de bomba d'água</t>
  </si>
  <si>
    <t>Departamento de Geociências</t>
  </si>
  <si>
    <t>Bolsa RP - Mariana - fev/19</t>
  </si>
  <si>
    <t>Passagem rodoviária - SMXPOA - Waterloo</t>
  </si>
  <si>
    <t>003237/2019</t>
  </si>
  <si>
    <t>000689/19</t>
  </si>
  <si>
    <t>Diárias - motorista Jaime</t>
  </si>
  <si>
    <t>003238/2019</t>
  </si>
  <si>
    <t>000783/19</t>
  </si>
  <si>
    <t>Passagem aérea - CearáXPOAXCeará - Edson - PPGGeo</t>
  </si>
  <si>
    <t>003691/2019</t>
  </si>
  <si>
    <t>Passagem rodoviária - POAXSMXPOA - Edson - PPGGeo</t>
  </si>
  <si>
    <t>003708/2019</t>
  </si>
  <si>
    <t>Passagem rodoviária - SMXPOAxSM - Romário</t>
  </si>
  <si>
    <t>Estorno do saldo do Almoxarifado Central</t>
  </si>
  <si>
    <t>Passagem rodoviária - SMXPOAxSM - Robaina</t>
  </si>
  <si>
    <t>005289/2019</t>
  </si>
  <si>
    <t>Passagem rodoviária - SMXPOAxSM - Adriano</t>
  </si>
  <si>
    <t>005290/2019</t>
  </si>
  <si>
    <t>001784/19</t>
  </si>
  <si>
    <t xml:space="preserve">Diárias - motorista Everton </t>
  </si>
  <si>
    <t>001792/19</t>
  </si>
  <si>
    <t>Diárias - motorista Soel</t>
  </si>
  <si>
    <t>001885/19</t>
  </si>
  <si>
    <t>Diárias - motorista Mauro</t>
  </si>
  <si>
    <t>LAMI - Conserto CPU - Waterloo - 08/04/19</t>
  </si>
  <si>
    <t>001888/19</t>
  </si>
  <si>
    <t>LAMI - Conserto CPU - Sandra - 12/04/19</t>
  </si>
  <si>
    <t>002489/19</t>
  </si>
  <si>
    <t>LAMI - Conserto CPU - Cassio - 16/04/19</t>
  </si>
  <si>
    <t>002524/19</t>
  </si>
  <si>
    <t>Diárias - Luciane - concurso professor</t>
  </si>
  <si>
    <t>LAMI - Conserto CPU - Benhur - 09/05/19</t>
  </si>
  <si>
    <t>002616/19</t>
  </si>
  <si>
    <t>Passagem aérea POA X SP X POA - Adriano</t>
  </si>
  <si>
    <t>LAMI - Conserto Impressora - Andreia - 04/06/19</t>
  </si>
  <si>
    <t>Bolsa formação Ana Justina</t>
  </si>
  <si>
    <t>002524/19 - C</t>
  </si>
  <si>
    <t>Devolução Diárias - Luciane - concurso professor</t>
  </si>
  <si>
    <t>Bolsa RP - Mariana - ago/19</t>
  </si>
  <si>
    <t>003215/19</t>
  </si>
  <si>
    <t>003596/19</t>
  </si>
  <si>
    <t>Alimentação e hospedagem Luciane - concurso</t>
  </si>
  <si>
    <t>003893/19</t>
  </si>
  <si>
    <t>Diárias - motorista Antonio</t>
  </si>
  <si>
    <t>OT 2264 e 2332 - ref. Dez/18</t>
  </si>
  <si>
    <t>OT 49 - ref. Jan/19</t>
  </si>
  <si>
    <t>OT 349 - ref. abr/19</t>
  </si>
  <si>
    <t>OT 495, 564 e 553 - ref. Mai/19</t>
  </si>
  <si>
    <t>OT 704 e viagem 11/06 - ref. Jun/19</t>
  </si>
  <si>
    <t>OT 787 - ref. Jul/19</t>
  </si>
  <si>
    <t>OT 1158 - ref. Set/19</t>
  </si>
  <si>
    <t>Sedex - 10/01 e 31/01</t>
  </si>
  <si>
    <t>Sedex - 28/02</t>
  </si>
  <si>
    <t>Sedex - 11/04 e 17/04</t>
  </si>
  <si>
    <t>Sedex - 15/03</t>
  </si>
  <si>
    <t>Sedex - 26/08</t>
  </si>
  <si>
    <t>Sedex - 12/09 e 16/09</t>
  </si>
  <si>
    <t>Cartazes 28/08/18 e 25/09/18</t>
  </si>
  <si>
    <t>Agendas 19/11/18</t>
  </si>
  <si>
    <t>Couche 14/05/18, banner 29/11/18, banner 06/12/18, couche 12/12/18, banner 09/05/19</t>
  </si>
  <si>
    <t>Cartazes 02/09/19 e adesivo, couché - 11/09/19</t>
  </si>
  <si>
    <t>Requisição almox 01311/2019</t>
  </si>
  <si>
    <t>Requisição almox 014167/2019</t>
  </si>
  <si>
    <t>Requisição almox 014168/2019</t>
  </si>
  <si>
    <t>Departamento de Matemática</t>
  </si>
  <si>
    <t xml:space="preserve">Transferência para o almoxarifado central </t>
  </si>
  <si>
    <t>000021/19</t>
  </si>
  <si>
    <t>Passagens aéreas - Marcio Violante - Concurso prof.</t>
  </si>
  <si>
    <t>Passagens rodoviárias - Marcio Violante - Concurso prof.</t>
  </si>
  <si>
    <t>000086/19</t>
  </si>
  <si>
    <t>Diárias - Maria Arlita - Concurso prof.</t>
  </si>
  <si>
    <t>000465/19</t>
  </si>
  <si>
    <t>Diárias - Osmar - Banca mestrado PROFMAT</t>
  </si>
  <si>
    <t>LAMI - conserto CPU Janice - 27/11/18</t>
  </si>
  <si>
    <t>000646/19</t>
  </si>
  <si>
    <t>Diárias - Dirceu - Rio Grande</t>
  </si>
  <si>
    <t>Recebido do PPGMat em troca de diárias</t>
  </si>
  <si>
    <t>000647/19</t>
  </si>
  <si>
    <t>Diárias - João Lazzarin - Rio Grande</t>
  </si>
  <si>
    <t>Transferência para o almoxarifado central - para complementar pedido 6880/19</t>
  </si>
  <si>
    <t>000744/19</t>
  </si>
  <si>
    <t>Diárias - Oscar - Rio Grande</t>
  </si>
  <si>
    <t>Transferido para o PPGMat em troca de custeio</t>
  </si>
  <si>
    <t>001729/19</t>
  </si>
  <si>
    <t>Passagens aéreas - Marina Ville</t>
  </si>
  <si>
    <t>Transferido para o Curso de Matemática em troca de custeio</t>
  </si>
  <si>
    <t>Transferido para o Dpto. Biologia em troca de custeio</t>
  </si>
  <si>
    <t>Recebido do Curso de Matemática, em troca de passagens</t>
  </si>
  <si>
    <t>Passagens rodoviárias - SM X POA - Marina - prof. Ari</t>
  </si>
  <si>
    <t>Recebido do Dpto. Biologia em troca de diárias</t>
  </si>
  <si>
    <t>Transferido para o PROFMAT em troca de custeio</t>
  </si>
  <si>
    <t>002735/19</t>
  </si>
  <si>
    <t>Diárias e passagens aéreas - Dirceu</t>
  </si>
  <si>
    <t>002791/19</t>
  </si>
  <si>
    <t>Diárias - Maria Cecília</t>
  </si>
  <si>
    <t>Recebido do PPGMat em troca de passagens</t>
  </si>
  <si>
    <t>Passagens rodoviárias - SM X POA X SM - Maria Cecília</t>
  </si>
  <si>
    <t>NF 15320</t>
  </si>
  <si>
    <t>Cartão de suprimento - Materiais para ponto de rede</t>
  </si>
  <si>
    <t>Passagens rodoviárias - SM X POA X SM - Dirceu</t>
  </si>
  <si>
    <t>002926/19</t>
  </si>
  <si>
    <t>Diárias e passagens aéreas - Lidiane</t>
  </si>
  <si>
    <t>Recebido do PROFMAT em troca de diárias</t>
  </si>
  <si>
    <t>NF 31893</t>
  </si>
  <si>
    <t>Cartão de suprimento - rede elétrica sala 1210A, 1210B, 1210C</t>
  </si>
  <si>
    <t>Departamento de Química</t>
  </si>
  <si>
    <t>000059/19</t>
  </si>
  <si>
    <t>Diárias e passagens aéreas - Herbert - Concurso</t>
  </si>
  <si>
    <t>000091/19</t>
  </si>
  <si>
    <t>Diárias e passagens aéreas - Victor - Concurso</t>
  </si>
  <si>
    <t>Transferência para PROINFRA - ref. ar OS 4775 - Memo 100/18DQ - Robert</t>
  </si>
  <si>
    <t>Passagem rodoviária - POAXSM - Victor - Concurso</t>
  </si>
  <si>
    <t>000061/19</t>
  </si>
  <si>
    <t>Diárias e passagens aéreas - Heveline - Concurso</t>
  </si>
  <si>
    <t>Transferência para o almoxarifado central - cfe. Memorando 020/2019 - DQ</t>
  </si>
  <si>
    <t>Passagem rodoviária - SMXPOAXSM - Ionara</t>
  </si>
  <si>
    <t>001175/19</t>
  </si>
  <si>
    <t>Diárias motorista - Jose Vitorino</t>
  </si>
  <si>
    <t>Transferência para PROINFRA - ref. ar OS 4941 - Memo 21/19DQ</t>
  </si>
  <si>
    <t>Recebido Curso Proc. Químicos (ref. Phmetro)</t>
  </si>
  <si>
    <t>Hospedagem e alimentação - Park Hotel - Concurso</t>
  </si>
  <si>
    <t>LAMI - conserto CPU Paulo - 29/11/18</t>
  </si>
  <si>
    <t>LAMI - conserto CPU Herton - 10/01/19</t>
  </si>
  <si>
    <t>LAMI - conserto CPU Fatima - 08/02/19</t>
  </si>
  <si>
    <t>LAMI - conserto CPU Helio - 18/03/19</t>
  </si>
  <si>
    <t>Combustível OT 538 - 23/05/19</t>
  </si>
  <si>
    <t>NF 9413</t>
  </si>
  <si>
    <t>Cartão de suprimento - Relé e protetor para cadeira</t>
  </si>
  <si>
    <t>NF 3749</t>
  </si>
  <si>
    <t>Cartão de suprimento - Rolamento</t>
  </si>
  <si>
    <t>Requisição do Almoxarifado Central - SQIA</t>
  </si>
  <si>
    <t>CF 13349</t>
  </si>
  <si>
    <t>Cartão de suprimento - Termostato e Evaporadora</t>
  </si>
  <si>
    <t>Requisição do Almoxarifado Central - prof. Robert</t>
  </si>
  <si>
    <t xml:space="preserve">Requisição do Almoxarifado Central </t>
  </si>
  <si>
    <t>LAMI - Conserto CPU - Sandra - 08/04/19</t>
  </si>
  <si>
    <t>LAMI - Conserto CPU - Jussiane - 27/05/19</t>
  </si>
  <si>
    <t>LAMI - Conserto Impressora - Ionara - 03/06/19</t>
  </si>
  <si>
    <t>LAMI - Conserto Impressoras - Luis - 27/06/19</t>
  </si>
  <si>
    <t>LAMI - Conserto CPU - Darliana - 25/07/19</t>
  </si>
  <si>
    <t>Requisição do Almoxarifado Central  - SQIA</t>
  </si>
  <si>
    <t>Requisição do Almoxarifado Central  - Setor Química Inorgânica</t>
  </si>
  <si>
    <t>Requisição do Almoxarifado Central  - Secretaria</t>
  </si>
  <si>
    <t>Requisição do Almoxarifado Central  - Setor Química Orgânica</t>
  </si>
  <si>
    <t>Requisição do Almoxarifado Central  - Setor Química Analítica</t>
  </si>
  <si>
    <t>Recolhimento do recurso cfe. Memo Circular 02/2019 DEMAPA/DCF (obs. Poderá utilizar para hospedagem concurso titular)</t>
  </si>
  <si>
    <t>RECURSO PROF. OSMAR -  LARP</t>
  </si>
  <si>
    <t>Diárias recebidas do Dpto. Estatística para viagem LARP nov/19</t>
  </si>
  <si>
    <t>Requisição de almoxarifado 9772/2019</t>
  </si>
  <si>
    <t>Requisição de almoxarifado 9775/2019</t>
  </si>
  <si>
    <t>Requisição de almoxarifado 10693/2019</t>
  </si>
  <si>
    <t>Transferido para o Dpto. Estatística em troca de diária</t>
  </si>
  <si>
    <t>OT 942 - combustível viagem Carazinho</t>
  </si>
  <si>
    <t>Bolsa formação Memo 37/19 - LARP</t>
  </si>
  <si>
    <t>Previsão de combustível - Bento</t>
  </si>
  <si>
    <t>01249/2019</t>
  </si>
  <si>
    <t>Requisição do Almoxarifado Central  - SQUIA</t>
  </si>
  <si>
    <t>Requisição do Almoxarifado Central - Secretaria</t>
  </si>
  <si>
    <t>002190/2019</t>
  </si>
  <si>
    <t>Materiais do Almoxarifado Central - DABio</t>
  </si>
  <si>
    <t>004951/2019</t>
  </si>
  <si>
    <t>Materiais do Almoxarifado Central - DAMat</t>
  </si>
  <si>
    <t>007012/2019</t>
  </si>
  <si>
    <t>Ecobags para Dgeo - Evento (troca com NDI)</t>
  </si>
  <si>
    <t>008311/2019</t>
  </si>
  <si>
    <t>Materiais do Almoxarifado Central - DAGeo</t>
  </si>
  <si>
    <t>010596/2019</t>
  </si>
  <si>
    <t>Gráfica - cartaz - DAGeo</t>
  </si>
  <si>
    <t>Transferência para Direção, para cobrir negativo</t>
  </si>
  <si>
    <t>Direção do CCNE</t>
  </si>
  <si>
    <t>Passagem rodovária POAXSMXPOA - Perla - UAP</t>
  </si>
  <si>
    <t>Recebido em troca de custeio</t>
  </si>
  <si>
    <t>Passagem rodovária POAXSMXPOA - Jordana - UAP</t>
  </si>
  <si>
    <t>Central de alarme incêndio - P13</t>
  </si>
  <si>
    <t>Transferência PROINFRA - vidros - NI</t>
  </si>
  <si>
    <t>Passagem aérea - Renata - troca FIEX GAP recurso 2018 por 2019</t>
  </si>
  <si>
    <t>Central de alarme incêndio - P17</t>
  </si>
  <si>
    <t>Passagem aérea - Fernando - troca FIEX GAP recurso 2018 por 2019</t>
  </si>
  <si>
    <t>Central de alarme incêndio - P18</t>
  </si>
  <si>
    <t>Bolsas RP - jan/19</t>
  </si>
  <si>
    <t>Diárias para prof. Nelson - concurso titular</t>
  </si>
  <si>
    <t>Passagem rodovária POAXSMXPOA - Nelson - concurso titular</t>
  </si>
  <si>
    <t>Passagem rodovária POAXSMXPOA - Felipe - Liga i9</t>
  </si>
  <si>
    <t>Passagem rodovária POAXSMXPOA - Carolina - Liga i9</t>
  </si>
  <si>
    <t>Transferido para o PPG Física como empréstimo até receber PROAP</t>
  </si>
  <si>
    <t>Transferido para o PROFMAT como empréstimo até receber CAPES</t>
  </si>
  <si>
    <t xml:space="preserve">Transferência para POLI - arranjo - NDI </t>
  </si>
  <si>
    <t>Diárias motorista Mario - para prof. Osmar DQ - aut. Neri</t>
  </si>
  <si>
    <t>Passagem rodoviária SM X POA X SM - Daíse</t>
  </si>
  <si>
    <t>Transferência PROINFRA - vidros - NP</t>
  </si>
  <si>
    <t>Passagem rodovária POAXSMXPOA - Nina - concurso titular</t>
  </si>
  <si>
    <t>Sedex - 28/01 mais multas e juros Correios</t>
  </si>
  <si>
    <t>Recebido do Dpto. de Bioquímica - saldo não utilizado</t>
  </si>
  <si>
    <t>Gráfica - set, out e nov/18</t>
  </si>
  <si>
    <t>Recebido do PPG Física como devolução do empréstimo (PROAP)</t>
  </si>
  <si>
    <t>Bolsas RP - fev/19</t>
  </si>
  <si>
    <t>Diárias e passagens aéreas Maria da Graça (SAI/UAP)</t>
  </si>
  <si>
    <t>Transferido para PROPLAN em troca de PERMANENTE urgente para central de alarmes</t>
  </si>
  <si>
    <t>Passagem rodoviária SM X POA - Maria das Graças (SAI/UAP)</t>
  </si>
  <si>
    <t>NF 30006</t>
  </si>
  <si>
    <t>Cartão de suprimento - adesivo e abraçadeira para cozinha - INFRA</t>
  </si>
  <si>
    <t xml:space="preserve">Divisória biblioteca - INPE </t>
  </si>
  <si>
    <t>Bolsas RP - mar/19</t>
  </si>
  <si>
    <t>Recebido do CT - para divisória do INPE</t>
  </si>
  <si>
    <t>Solicitação de almoxarifado - sifão - INFRA</t>
  </si>
  <si>
    <t>Solicitação de almoxarifado - A4 - Direção</t>
  </si>
  <si>
    <t>Solicitação de almoxarifado - DA Física - INFRA</t>
  </si>
  <si>
    <t>Solicitação de almoxarifado - Grade 17 - INFRA</t>
  </si>
  <si>
    <t>Hospedagem e alimentação - Park Hotel - Recepção dos Calouros UAP</t>
  </si>
  <si>
    <t xml:space="preserve">Transferência para POLI - plantas biblio - NDI </t>
  </si>
  <si>
    <t>NF 45690</t>
  </si>
  <si>
    <t>Cartão de suprimento - Spiraduto - Ninfo</t>
  </si>
  <si>
    <t>NF50339</t>
  </si>
  <si>
    <t>Cartão de suprimento - Solda - NP</t>
  </si>
  <si>
    <t>NF 142818</t>
  </si>
  <si>
    <t>Cartão de suprimento - Cano e Registro - NP</t>
  </si>
  <si>
    <t>NF 850499</t>
  </si>
  <si>
    <t>Cartão de suprimento - Disco de corte - NP</t>
  </si>
  <si>
    <t>NF 70 e 8</t>
  </si>
  <si>
    <t>Cartão de suprimento - bomba d'água CAPPA - NP</t>
  </si>
  <si>
    <t>Solicitação de almoxarifado - INFRA</t>
  </si>
  <si>
    <t>Solicitação de almoxarifado - papel higiênico - INFRA</t>
  </si>
  <si>
    <t>Solicitação de almoxarifado - Oficina - fios para auditório</t>
  </si>
  <si>
    <t>Solicitação de almoxarifado - UAP</t>
  </si>
  <si>
    <t>Solicitação de almoxarifado - Arquivo</t>
  </si>
  <si>
    <t>Solicitação de almoxarifado - Direção</t>
  </si>
  <si>
    <t>Transferido para a Biblioteca Setorial para conserto dos Condicionadores de Ar</t>
  </si>
  <si>
    <t>10 Válvulas para mictório - INFRA</t>
  </si>
  <si>
    <t>Solicitação de almoxarifado - Ciência Viva</t>
  </si>
  <si>
    <t>Repassado para o Jardim Botânico - porta de vidro</t>
  </si>
  <si>
    <t xml:space="preserve">Bolsas RP - abr/19 </t>
  </si>
  <si>
    <t>Bolsas RP - abr/19 - central de tutoria</t>
  </si>
  <si>
    <t>LAMI - limpeza CPU Silvana - 13/09/18</t>
  </si>
  <si>
    <t>LAMI - limpeza scanner Valter - 13/09/18</t>
  </si>
  <si>
    <t>LAMI - conserto CPU Estela - 18/10/18</t>
  </si>
  <si>
    <t>LAMI - Conserto CPU - Felipe - 01/03/19</t>
  </si>
  <si>
    <t>LAMI - Conserto impressora - Felipe - 11/02/19</t>
  </si>
  <si>
    <t>LAMI - Conserto CPU - Felipe - 21/03/19</t>
  </si>
  <si>
    <t>LAMI - limpeza CPU Felipe - 01/03/19</t>
  </si>
  <si>
    <t>Solicitação de almoxarifado - Ninfo</t>
  </si>
  <si>
    <t>Transferência para a UAP do CCR para auxiliar no evento com o prof. Guilherme Nogueira</t>
  </si>
  <si>
    <t>Correios - Sedex 01/04 e 03/04</t>
  </si>
  <si>
    <t>NF 36718</t>
  </si>
  <si>
    <t>Cartão de suprimento - kit válvula Docol - NP</t>
  </si>
  <si>
    <t>NF 53867 e 36140</t>
  </si>
  <si>
    <t>Cartão de suprimento - Disco e Barra de ferro - NP</t>
  </si>
  <si>
    <t>NF 51966</t>
  </si>
  <si>
    <t>Cartão de suprimento - tampa de caixa de gordura - NP</t>
  </si>
  <si>
    <t>Correios - Selos 11/03 - atividade JB</t>
  </si>
  <si>
    <t xml:space="preserve">Bolsas RP - mai/19 </t>
  </si>
  <si>
    <t>Bolsas RP - mai/19 - central de tutoria</t>
  </si>
  <si>
    <t xml:space="preserve">Transferência para o JB ref. floricultura Poli - cfe. solicitação Simone </t>
  </si>
  <si>
    <t>Gráfica - dez/18, jan, fez, mar e abr/19 - NDI</t>
  </si>
  <si>
    <t>Gráfica - 26/03/19 - Ionara - Química</t>
  </si>
  <si>
    <t>Transferido para a Revista - para pagar bolsistas</t>
  </si>
  <si>
    <t>Solicitação de almoxarifado - GAP</t>
  </si>
  <si>
    <t>NF 24228187</t>
  </si>
  <si>
    <t xml:space="preserve">Cartão de suprimento - controle de acesso - prédios básicos </t>
  </si>
  <si>
    <t>NF 255547</t>
  </si>
  <si>
    <t>Cartão de suprimento - rodízios</t>
  </si>
  <si>
    <t>NF 37146</t>
  </si>
  <si>
    <t>Cartão de suprimento - parafuso e cano para conserto de vasos</t>
  </si>
  <si>
    <t>NF 880998</t>
  </si>
  <si>
    <t>Cartão de suprimento - material para CPD - rede</t>
  </si>
  <si>
    <t>CF 2433</t>
  </si>
  <si>
    <t xml:space="preserve">Bolsas RP - jun/19 </t>
  </si>
  <si>
    <t>Bolsas RP - jun/19 - central de tutoria</t>
  </si>
  <si>
    <t>Hospedagem e alimentação - Park Hotel - Palestra PPG Biodiversidade Animal</t>
  </si>
  <si>
    <t>NF 53870</t>
  </si>
  <si>
    <t>Cartão de suprimento - dobradiça porta fundos - P13 - INFRA</t>
  </si>
  <si>
    <t>NF 888733</t>
  </si>
  <si>
    <t>Cartão de suprimento - Veda trinca - INFRA</t>
  </si>
  <si>
    <t>NF 37409</t>
  </si>
  <si>
    <t>Cartão de suprimento - Massa fina - INFRA</t>
  </si>
  <si>
    <t>NF 886890</t>
  </si>
  <si>
    <t>Cartão de suprimento - kit docol - INFRA</t>
  </si>
  <si>
    <t>CF 2799</t>
  </si>
  <si>
    <t>Cartão de suprimento - parafuso e porca - INFRA</t>
  </si>
  <si>
    <t>NF 827</t>
  </si>
  <si>
    <t>Cartão de suprimento - Chaveiro - INFRA</t>
  </si>
  <si>
    <t>NF 43360</t>
  </si>
  <si>
    <t>Cartão de suprimento - Manta asfaltica e espuma - INFRA</t>
  </si>
  <si>
    <t>NF 53554</t>
  </si>
  <si>
    <t>Cartão de suprimento - Disco de corte - INFRA</t>
  </si>
  <si>
    <t>CF 2840</t>
  </si>
  <si>
    <t>Cartão de suprimento - parafuso - INFRA</t>
  </si>
  <si>
    <t>Transferido para Biblioteca Setorial para custear 3 bolsas RP jul - dez</t>
  </si>
  <si>
    <t xml:space="preserve">Bolsas RP - jul/19 </t>
  </si>
  <si>
    <t>Bolsas RP - jul/19 - central de tutoria</t>
  </si>
  <si>
    <t>Recebido do CT - bolsas central de tutoria</t>
  </si>
  <si>
    <t>Solicitação de almoxarifado - NECO</t>
  </si>
  <si>
    <t>Transferido para Biblioteca Setorial para custear conserto de ar cassete</t>
  </si>
  <si>
    <t>Transferência PROINFRA - conserto vidros sala 1124 (OT - 1171/2019)</t>
  </si>
  <si>
    <t>Juros e multa correios (fatura junho/2019)</t>
  </si>
  <si>
    <t>009425/2019</t>
  </si>
  <si>
    <t>009411/2019</t>
  </si>
  <si>
    <t>009441/2019</t>
  </si>
  <si>
    <t>009443/2019</t>
  </si>
  <si>
    <t>009457/2019</t>
  </si>
  <si>
    <t>009492/2019</t>
  </si>
  <si>
    <t>Solicitação de almoxarifado - Núcleo Informática</t>
  </si>
  <si>
    <t>009495/2019</t>
  </si>
  <si>
    <t>009507/2019</t>
  </si>
  <si>
    <t>NF 53884</t>
  </si>
  <si>
    <t>Cartão de suprimento - Dobradiça - INFRA</t>
  </si>
  <si>
    <t>NF 30583 e 48189</t>
  </si>
  <si>
    <t>Cartão de suprimento - Materiais para ponto de rede - NINFO</t>
  </si>
  <si>
    <t>NF 54390</t>
  </si>
  <si>
    <t>Cartão de suprimento - Joelho e luva - INFRA</t>
  </si>
  <si>
    <t>NF 264018 e CF 3440</t>
  </si>
  <si>
    <t>Cartão de suprimento - Cola, fita e parafuso - INFRA</t>
  </si>
  <si>
    <t>CF 3618</t>
  </si>
  <si>
    <t>Cartão de suprimento - Bucha para gesso - INFRA</t>
  </si>
  <si>
    <t>NF 643</t>
  </si>
  <si>
    <t>Cartão de suprimento - Capacitor - INFRA</t>
  </si>
  <si>
    <t>NF 31097</t>
  </si>
  <si>
    <t>Cartão de suprimento - Tampa para tomada, abraçadeira - INFRA</t>
  </si>
  <si>
    <t>NF 54732</t>
  </si>
  <si>
    <t>Cartão de suprimento - Escápula e parafuso - INFRA</t>
  </si>
  <si>
    <t>LAMI - Conserto CPU - Sonia - 04/04/19</t>
  </si>
  <si>
    <t>LAMI - Conserto CPU - Felipe - 25/06/19</t>
  </si>
  <si>
    <t>LAMI - Conserto Impressora - Felipe - 25/06/19</t>
  </si>
  <si>
    <t>Dispensa de licitação para Manutenção HPLC do CEPARC/DQ</t>
  </si>
  <si>
    <t>Juros e multa correios (fatura julho/2019)</t>
  </si>
  <si>
    <t>Combustível - OT 782 - jul/19</t>
  </si>
  <si>
    <t>Sinalização complementar - INFRA</t>
  </si>
  <si>
    <t>Imprensa NDI - 16/04, 17/06, 18/06, 24/06, 28/06, 01/07, 05/07, 09/07, 10/07</t>
  </si>
  <si>
    <t>Imprensa UAP - 11/07</t>
  </si>
  <si>
    <t>Imprensa INFRA - 08/07 e 10/07</t>
  </si>
  <si>
    <t xml:space="preserve">Bolsas RP - ago/19 </t>
  </si>
  <si>
    <t>Bolsas RP - ago/19 - central de tutoria</t>
  </si>
  <si>
    <t xml:space="preserve">Transferência para Floresce - INFRA </t>
  </si>
  <si>
    <t>Dispensa para aplicação de Gel Coat em 4 reservatórios do Prédio 18</t>
  </si>
  <si>
    <t>Combustível 27/06/19 - DQ prof. Elio - 180 litros</t>
  </si>
  <si>
    <t>Recebido do Dpto. Estatística para cobrir negativo</t>
  </si>
  <si>
    <t>Transferência do NDI/CCNE para o Politécnico ref. plantas viva o campus JB</t>
  </si>
  <si>
    <t>Recebido do Curso de Química Licenciatura para cobrir negativo</t>
  </si>
  <si>
    <t>Juros e multa correios (fatura agosto/2019)</t>
  </si>
  <si>
    <t>Recebido do PPG Biodiversidade Animal</t>
  </si>
  <si>
    <t>Recebido do Dpto. Ecologia em troca de Diárias do Edital dos TAEs</t>
  </si>
  <si>
    <t>Solicitação de almoxarifado - Oficina</t>
  </si>
  <si>
    <t>Recebido dos Diretórios, para cobrir negativo</t>
  </si>
  <si>
    <t>Cimento cola e Cal - INFRA</t>
  </si>
  <si>
    <t xml:space="preserve">Bolsas RP - set/19 </t>
  </si>
  <si>
    <t>Bolsas RP - set/19 - central de tutoria</t>
  </si>
  <si>
    <t>Imprensa (Direção, DA, NDI) 27/06, 31/07, 19/08, 28/08</t>
  </si>
  <si>
    <t>Locação de impressoras para o CCNE</t>
  </si>
  <si>
    <t>Cartão de suprimento - Bucha NDI</t>
  </si>
  <si>
    <t>NF 69429</t>
  </si>
  <si>
    <t>Cartão de suprimento - Material elétrico sala 1108A - INFRA</t>
  </si>
  <si>
    <t>CF 991</t>
  </si>
  <si>
    <t>Cartão de suprimento - Parafuso conserto telhado P13 - INFRA</t>
  </si>
  <si>
    <t>NF 55690</t>
  </si>
  <si>
    <t>Cartão de suprimento - Conector - INFRA</t>
  </si>
  <si>
    <t>Cartão de suprimento - Fecho de porta de banheiro - INFRA</t>
  </si>
  <si>
    <t>Combustível 09/09/19 - DQ prof. Davi - 150 litros</t>
  </si>
  <si>
    <t>OT 1093 ref. Combustível Cachoeira - noz pecã</t>
  </si>
  <si>
    <t xml:space="preserve">Bolsas RP - out/19 </t>
  </si>
  <si>
    <t>Bolsas RP - out/19 - central de tutoria</t>
  </si>
  <si>
    <t>Recolhimento do recurso cfe. Memo Circular 02/2019 DEMAPA/DCF - C. Biologia</t>
  </si>
  <si>
    <t>Recolhimento do recurso cfe. Memo Circular 02/2019 DEMAPA/DCF - C. Física</t>
  </si>
  <si>
    <t>Recolhimento do recurso cfe. Memo Circular 02/2019 DEMAPA/DCF - C. Geografia</t>
  </si>
  <si>
    <t>Recolhimento do recurso cfe. Memo Circular 02/2019 DEMAPA/DCF - C. Matemática</t>
  </si>
  <si>
    <t>Recolhimento do recurso cfe. Memo Circular 02/2019 DEMAPA/DCF - C. Meteorologia</t>
  </si>
  <si>
    <t>Recolhimento do recurso cfe. Memo Circular 02/2019 DEMAPA/DCF - C. Química Licenciatura</t>
  </si>
  <si>
    <t>Recolhimento do recurso cfe. Memo Circular 02/2019 DEMAPA/DCF - C. Química Industrial</t>
  </si>
  <si>
    <t>Recolhimento do recurso cfe. Memo Circular 02/2019 DEMAPA/DCF - C. Tec. Processos Químicos</t>
  </si>
  <si>
    <t>Recolhimento do recurso cfe. Memo Circular 02/2019 DEMAPA/DCF - PPG Agrobiologia</t>
  </si>
  <si>
    <t>Recolhimento do recurso cfe. Memo Circular 02/2019 DEMAPA/DCF - PPG Bioquímica</t>
  </si>
  <si>
    <t>Recolhimento do recurso cfe. Memo Circular 02/2019 DEMAPA/DCF - PPG Biodiversidade Animal</t>
  </si>
  <si>
    <t>Recolhimento do recurso cfe. Memo Circular 02/2019 DEMAPA/DCF - PPG EMEF</t>
  </si>
  <si>
    <t>Recolhimento do recurso cfe. Memo Circular 02/2019 DEMAPA/DCF - PPG Física</t>
  </si>
  <si>
    <t>Recolhimento do recurso cfe. Memo Circular 02/2019 DEMAPA/DCF - PPG Geografia</t>
  </si>
  <si>
    <t>Recolhimento do recurso cfe. Memo Circular 02/2019 DEMAPA/DCF - PPG Matemática</t>
  </si>
  <si>
    <t>Recolhimento do recurso cfe. Memo Circular 02/2019 DEMAPA/DCF - PPG Meteorologia</t>
  </si>
  <si>
    <t>Recolhimento do recurso cfe. Memo Circular 02/2019 DEMAPA/DCF - PPG Química da Vida e Saúde</t>
  </si>
  <si>
    <t>Recolhimento do recurso cfe. Memo Circular 02/2019 DEMAPA/DCF - PPG PROFMAT</t>
  </si>
  <si>
    <t>Recolhimento do recurso cfe. Memo Circular 02/2019 DEMAPA/DCF - Dpto. Biologia</t>
  </si>
  <si>
    <t>Recolhimento do recurso cfe. Memo Circular 02/2019 DEMAPA/DCF - Dpto. Bioquímica</t>
  </si>
  <si>
    <t>Recolhimento do recurso cfe. Memo Circular 02/2019 DEMAPA/DCF - Dpto. Física</t>
  </si>
  <si>
    <t>Recolhimento do recurso cfe. Memo Circular 02/2019 DEMAPA/DCF - Dpto. Geociências</t>
  </si>
  <si>
    <t>Recolhimento do recurso cfe. Memo Circular 02/2019 DEMAPA/DCF - Dpto. Matemática</t>
  </si>
  <si>
    <t>Recolhimento do recurso cfe. Memo Circular 02/2019 DEMAPA/DCF - Dpto. Química</t>
  </si>
  <si>
    <t>Repassado para o Dpto. Ecologia e Evolução, para cobrir negativo</t>
  </si>
  <si>
    <t>Repassado para o CAPPA, para cobrir negativo</t>
  </si>
  <si>
    <t>Repassado para o Jardim Botânico, para cobrir negativo</t>
  </si>
  <si>
    <t>Transferência do CCNE para a PROINFRA ref. Memo 44/2019 - CCNE-NI - instalação de split para o Herbário.</t>
  </si>
  <si>
    <t>Recebido para empenhos 14608, 13650, 14451, 14496 e 14466</t>
  </si>
  <si>
    <t>Solicitação de almoxarifado - INFO</t>
  </si>
  <si>
    <t>Solicitação de almoxarifado - CAPPA</t>
  </si>
  <si>
    <t>Solicitação de almoxarifado - C. Biologia (mediante solicitação)</t>
  </si>
  <si>
    <t>Solicitação de almoxarifado - PPGEQVS (água)</t>
  </si>
  <si>
    <t>Solicitação de almoxarifado - Biblioteca</t>
  </si>
  <si>
    <t>Centro de Apoio à Pesquisa Paleontológica - CAPPA</t>
  </si>
  <si>
    <t>Bolsa RP - Livia - fev/19</t>
  </si>
  <si>
    <t xml:space="preserve">Transferência para o Almoxarifado Central </t>
  </si>
  <si>
    <t>NF 68244</t>
  </si>
  <si>
    <t>Cartão de suprimento - Rele</t>
  </si>
  <si>
    <t>Bolsa RP - out/19</t>
  </si>
  <si>
    <t>Recebido da Direção para custear bolsista</t>
  </si>
  <si>
    <t>IMPRENSA UNIVERSITÁRIA</t>
  </si>
  <si>
    <t>Biblioteca Setorial do CCNE</t>
  </si>
  <si>
    <t>Transferência para o Almoxarifado Central</t>
  </si>
  <si>
    <t>NF 42</t>
  </si>
  <si>
    <t>Cartão de suprimento - lavagem de redes</t>
  </si>
  <si>
    <t>002556/2019</t>
  </si>
  <si>
    <t>CF 42104 e 11612</t>
  </si>
  <si>
    <t>Cartão de suprimento -conserto bebedouro</t>
  </si>
  <si>
    <t xml:space="preserve">Recebimento de Multas </t>
  </si>
  <si>
    <t>Conserto Condicionadores de Ar - OS 4993 e 4994</t>
  </si>
  <si>
    <t>Recebido da Direção para conserto dos Condicionadores de Ar</t>
  </si>
  <si>
    <t>Imprensa - 20/02, 27/02, 15/03, 25/03, 04/04, 22/04, 25/04</t>
  </si>
  <si>
    <t>Recebimento de Multas</t>
  </si>
  <si>
    <t>Recebido da Direção para custear 3 bolsas RP jul - dez</t>
  </si>
  <si>
    <t>Recebido da Direção para custear conserto de ar</t>
  </si>
  <si>
    <t>NF 368</t>
  </si>
  <si>
    <t>Cartão de suprimento - Cimento e Rejunte</t>
  </si>
  <si>
    <t>NF 370</t>
  </si>
  <si>
    <t>Transferência da Biblioteca Setorial do CCNE para a Biblioteca Central - ref. caixa com 1.000 etiquetas magnéticas para os livros.</t>
  </si>
  <si>
    <t>Jardim Botânico</t>
  </si>
  <si>
    <t>005802/2019</t>
  </si>
  <si>
    <t>Transferência para o Almoxarifado Central - cfe. E-mail</t>
  </si>
  <si>
    <t>Livro de visitação - Gráfica 06/11/18</t>
  </si>
  <si>
    <t>003294/2019</t>
  </si>
  <si>
    <t>Requisição de Almoxarifado Central - Herbário</t>
  </si>
  <si>
    <t>003298/2019</t>
  </si>
  <si>
    <t>003299/2019</t>
  </si>
  <si>
    <t>Requisição de Almoxarifado Central - Ed. Ambiental</t>
  </si>
  <si>
    <t>003306/2019</t>
  </si>
  <si>
    <t>Requisição de Almoxarifado Central - Gás Cozinha</t>
  </si>
  <si>
    <t>003307/2019</t>
  </si>
  <si>
    <t>Requisição de Almoxarifado Central - Cozinha</t>
  </si>
  <si>
    <t>003396/2019</t>
  </si>
  <si>
    <t>002822/2019</t>
  </si>
  <si>
    <t>003129/2019</t>
  </si>
  <si>
    <t>004078/2019</t>
  </si>
  <si>
    <t>004599/2019</t>
  </si>
  <si>
    <t>004656/2019</t>
  </si>
  <si>
    <t>Valor ref. Complementação Combustível</t>
  </si>
  <si>
    <t>004723/2019</t>
  </si>
  <si>
    <t>004740/2019</t>
  </si>
  <si>
    <t>004744/2019</t>
  </si>
  <si>
    <t>004901/2019</t>
  </si>
  <si>
    <t>004934/2019</t>
  </si>
  <si>
    <t xml:space="preserve">Requisição de Almoxarifado Central </t>
  </si>
  <si>
    <t>003938/2019</t>
  </si>
  <si>
    <t>Recebido da Direção para custear porta de vidro</t>
  </si>
  <si>
    <t>005056/2019</t>
  </si>
  <si>
    <t>005262/2019</t>
  </si>
  <si>
    <t>LAMI - Conserto impressora - Fábio - 15/01/19</t>
  </si>
  <si>
    <t>Combustível ref. Abr/19</t>
  </si>
  <si>
    <t>006662/2019</t>
  </si>
  <si>
    <t>006772/2019</t>
  </si>
  <si>
    <t>006777/2019</t>
  </si>
  <si>
    <t>Transferência para a floricultura - Poli - cfe. Solicitação Simone</t>
  </si>
  <si>
    <t>Recebido da Direção para custear floricultura</t>
  </si>
  <si>
    <t>Livro de visitação - Gráfica 01/04/19</t>
  </si>
  <si>
    <t>Papel Offset Herbário - Gráfica 08/04/19</t>
  </si>
  <si>
    <t>006818/2019</t>
  </si>
  <si>
    <t>005454/2019</t>
  </si>
  <si>
    <t>Combustível ref. mai/19</t>
  </si>
  <si>
    <t>007245/2019</t>
  </si>
  <si>
    <t>007258/2019</t>
  </si>
  <si>
    <t>007680/2019</t>
  </si>
  <si>
    <t>007684/2019</t>
  </si>
  <si>
    <t>007888/2019</t>
  </si>
  <si>
    <t>007895/2019</t>
  </si>
  <si>
    <t>008221/2019</t>
  </si>
  <si>
    <t>008627/2019</t>
  </si>
  <si>
    <t>008760/2019</t>
  </si>
  <si>
    <t>008813/2019</t>
  </si>
  <si>
    <t>008955/2019</t>
  </si>
  <si>
    <t>009113/2019</t>
  </si>
  <si>
    <t>009351/2019</t>
  </si>
  <si>
    <t>009676/2019</t>
  </si>
  <si>
    <t>Requisição de Almoxarifado Central  - Herbário</t>
  </si>
  <si>
    <t>009960/2019</t>
  </si>
  <si>
    <t>009962/2019</t>
  </si>
  <si>
    <t>010314/2019</t>
  </si>
  <si>
    <t>Combustível ref. jun/19</t>
  </si>
  <si>
    <t>Combustível ref. jul/19</t>
  </si>
  <si>
    <t>010592/2019</t>
  </si>
  <si>
    <t>010621/2019</t>
  </si>
  <si>
    <t>010626/2019</t>
  </si>
  <si>
    <t>010783/2019</t>
  </si>
  <si>
    <t>Imprensa - 17/06 e 25/06</t>
  </si>
  <si>
    <t>010899/2019</t>
  </si>
  <si>
    <t>011294/2019</t>
  </si>
  <si>
    <t>011312/2019</t>
  </si>
  <si>
    <t>011575/2019</t>
  </si>
  <si>
    <t>Combustível ref. ago/19</t>
  </si>
  <si>
    <t>Imprensa - 20/08</t>
  </si>
  <si>
    <t>Combustível ref. set/19</t>
  </si>
  <si>
    <t>Combustível ref. Dez/18</t>
  </si>
  <si>
    <t>Combustível ref. Jan/19</t>
  </si>
  <si>
    <t>Combustível ref. Fev/19</t>
  </si>
  <si>
    <t>Combustível ref. Mar/19</t>
  </si>
  <si>
    <t>CORREIOS</t>
  </si>
  <si>
    <t>Sedex - 14/01</t>
  </si>
  <si>
    <t>PAC - 11/07 e 26/07</t>
  </si>
  <si>
    <t>PAC - 09/08 - Sedex - 02/08</t>
  </si>
  <si>
    <t>PAC - 18/09</t>
  </si>
  <si>
    <t>012370/19</t>
  </si>
  <si>
    <t>012746/19</t>
  </si>
  <si>
    <t>Recebido da direção para cobrir negativo com bolsa</t>
  </si>
  <si>
    <t>Empenhos NOVEMBRO</t>
  </si>
  <si>
    <t>Repasse de recurso ref complementação - em 04/11</t>
  </si>
  <si>
    <t>Recebido da PROPLAN para cobrir empenho 14523</t>
  </si>
  <si>
    <t>Recebido para compra permanente aud. C</t>
  </si>
  <si>
    <t>Recebido da PROPLAN - aquisição de reagentes</t>
  </si>
  <si>
    <t>Recebido da PROPLAN - aquisição de permanente</t>
  </si>
  <si>
    <t>Recebido da Direção para cobrir negativo - compl. Empenho</t>
  </si>
  <si>
    <t>Repassado para o Dpto. Física para complementação de empenho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</si>
</sst>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0&quot;/&quot;00&quot;/2018&quot;"/>
    <numFmt numFmtId="166" formatCode="000000&quot;/2018&quot;"/>
    <numFmt numFmtId="167" formatCode="000000&quot;/13&quot;"/>
    <numFmt numFmtId="168" formatCode="00&quot;/&quot;00&quot;/2017&quot;"/>
    <numFmt numFmtId="169" formatCode="0.0%"/>
    <numFmt numFmtId="170" formatCode="00\/00&quot;/2018&quot;"/>
    <numFmt numFmtId="171" formatCode="_-&quot;R$ &quot;* #,##0.00_-;&quot;-R$ &quot;* #,##0.00_-;_-&quot;R$ &quot;* \-??_-;_-@_-"/>
    <numFmt numFmtId="172" formatCode="00&quot;/&quot;00&quot;/2019&quot;"/>
    <numFmt numFmtId="173" formatCode="000000&quot;/2019&quot;"/>
    <numFmt numFmtId="174" formatCode="h:mm;@"/>
    <numFmt numFmtId="175" formatCode="_-* #,##0_-;\-* #,##0_-;_-* &quot;-&quot;??_-;_-@_-"/>
    <numFmt numFmtId="176" formatCode="00\/00&quot;/2019&quot;"/>
    <numFmt numFmtId="177" formatCode="m/d/yyyy\ h:mm"/>
    <numFmt numFmtId="178" formatCode="d\-mmm"/>
  </numFmts>
  <fonts count="56" x14ac:knownFonts="1"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u/>
      <sz val="11"/>
      <color rgb="FF0563C1"/>
      <name val="Calibri"/>
      <family val="2"/>
    </font>
    <font>
      <b/>
      <sz val="13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9"/>
      <name val="Segoe UI"/>
      <family val="2"/>
    </font>
    <font>
      <sz val="9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E7E6E6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BDD7EE"/>
        <bgColor rgb="FFFFFFFF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38">
    <xf numFmtId="0" fontId="0" fillId="0" borderId="0" xfId="0"/>
    <xf numFmtId="44" fontId="0" fillId="0" borderId="0" xfId="1" applyFont="1"/>
    <xf numFmtId="177" fontId="0" fillId="0" borderId="0" xfId="0" applyNumberFormat="1"/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66" fontId="0" fillId="0" borderId="1" xfId="0" applyNumberForma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168" fontId="5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6" fillId="4" borderId="6" xfId="0" applyFont="1" applyFill="1" applyBorder="1"/>
    <xf numFmtId="165" fontId="5" fillId="5" borderId="7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44" fontId="0" fillId="2" borderId="3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" fillId="7" borderId="11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0" fillId="8" borderId="14" xfId="3" applyFont="1" applyFill="1" applyBorder="1"/>
    <xf numFmtId="169" fontId="0" fillId="0" borderId="15" xfId="3" applyNumberFormat="1" applyFont="1" applyBorder="1"/>
    <xf numFmtId="169" fontId="0" fillId="8" borderId="14" xfId="3" applyNumberFormat="1" applyFont="1" applyFill="1" applyBorder="1"/>
    <xf numFmtId="169" fontId="6" fillId="0" borderId="16" xfId="3" applyNumberFormat="1" applyFont="1" applyBorder="1"/>
    <xf numFmtId="44" fontId="0" fillId="0" borderId="0" xfId="1" applyFont="1" applyAlignment="1">
      <alignment vertical="center"/>
    </xf>
    <xf numFmtId="44" fontId="5" fillId="0" borderId="1" xfId="1" applyFont="1" applyBorder="1"/>
    <xf numFmtId="44" fontId="1" fillId="0" borderId="1" xfId="1" applyFont="1" applyBorder="1"/>
    <xf numFmtId="167" fontId="0" fillId="0" borderId="1" xfId="0" applyNumberFormat="1" applyBorder="1" applyAlignment="1">
      <alignment horizontal="right"/>
    </xf>
    <xf numFmtId="0" fontId="6" fillId="0" borderId="1" xfId="0" applyFont="1" applyBorder="1"/>
    <xf numFmtId="165" fontId="0" fillId="5" borderId="7" xfId="0" applyNumberFormat="1" applyFill="1" applyBorder="1"/>
    <xf numFmtId="168" fontId="0" fillId="0" borderId="1" xfId="0" applyNumberFormat="1" applyBorder="1" applyAlignment="1">
      <alignment horizontal="right"/>
    </xf>
    <xf numFmtId="44" fontId="6" fillId="0" borderId="1" xfId="1" applyFont="1" applyBorder="1"/>
    <xf numFmtId="168" fontId="0" fillId="5" borderId="7" xfId="0" applyNumberFormat="1" applyFill="1" applyBorder="1"/>
    <xf numFmtId="167" fontId="0" fillId="0" borderId="0" xfId="0" applyNumberFormat="1" applyAlignment="1">
      <alignment horizontal="right"/>
    </xf>
    <xf numFmtId="0" fontId="1" fillId="0" borderId="17" xfId="0" applyFont="1" applyBorder="1" applyAlignment="1">
      <alignment horizontal="center" vertical="center"/>
    </xf>
    <xf numFmtId="43" fontId="6" fillId="9" borderId="18" xfId="4" applyFont="1" applyFill="1" applyBorder="1"/>
    <xf numFmtId="43" fontId="6" fillId="10" borderId="19" xfId="4" applyFont="1" applyFill="1" applyBorder="1"/>
    <xf numFmtId="43" fontId="6" fillId="11" borderId="20" xfId="4" applyFont="1" applyFill="1" applyBorder="1"/>
    <xf numFmtId="43" fontId="0" fillId="0" borderId="8" xfId="4" applyFont="1" applyBorder="1"/>
    <xf numFmtId="43" fontId="0" fillId="0" borderId="1" xfId="4" applyFont="1" applyBorder="1"/>
    <xf numFmtId="43" fontId="0" fillId="0" borderId="9" xfId="4" applyFont="1" applyBorder="1"/>
    <xf numFmtId="43" fontId="6" fillId="0" borderId="21" xfId="4" applyFont="1" applyBorder="1"/>
    <xf numFmtId="43" fontId="6" fillId="0" borderId="22" xfId="4" applyFont="1" applyBorder="1"/>
    <xf numFmtId="43" fontId="6" fillId="0" borderId="23" xfId="4" applyFont="1" applyBorder="1"/>
    <xf numFmtId="43" fontId="6" fillId="0" borderId="24" xfId="4" applyFont="1" applyBorder="1"/>
    <xf numFmtId="43" fontId="6" fillId="0" borderId="25" xfId="4" applyFont="1" applyBorder="1"/>
    <xf numFmtId="43" fontId="6" fillId="12" borderId="26" xfId="4" applyFont="1" applyFill="1" applyBorder="1"/>
    <xf numFmtId="43" fontId="0" fillId="0" borderId="13" xfId="4" applyFont="1" applyBorder="1"/>
    <xf numFmtId="0" fontId="6" fillId="0" borderId="0" xfId="0" applyFont="1"/>
    <xf numFmtId="43" fontId="0" fillId="0" borderId="0" xfId="0" applyNumberFormat="1"/>
    <xf numFmtId="43" fontId="0" fillId="0" borderId="27" xfId="4" applyFon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  <xf numFmtId="165" fontId="5" fillId="0" borderId="1" xfId="0" applyNumberFormat="1" applyFont="1" applyBorder="1" applyAlignment="1">
      <alignment horizontal="right"/>
    </xf>
    <xf numFmtId="170" fontId="0" fillId="0" borderId="1" xfId="0" applyNumberFormat="1" applyBorder="1"/>
    <xf numFmtId="14" fontId="0" fillId="0" borderId="1" xfId="0" applyNumberFormat="1" applyBorder="1"/>
    <xf numFmtId="44" fontId="6" fillId="0" borderId="1" xfId="1" applyFont="1" applyBorder="1" applyAlignment="1">
      <alignment vertical="center"/>
    </xf>
    <xf numFmtId="0" fontId="0" fillId="5" borderId="7" xfId="0" applyFill="1" applyBorder="1"/>
    <xf numFmtId="44" fontId="0" fillId="0" borderId="1" xfId="0" applyNumberFormat="1" applyBorder="1" applyAlignment="1">
      <alignment horizontal="right"/>
    </xf>
    <xf numFmtId="166" fontId="0" fillId="5" borderId="7" xfId="0" applyNumberFormat="1" applyFill="1" applyBorder="1"/>
    <xf numFmtId="44" fontId="0" fillId="5" borderId="7" xfId="1" applyFont="1" applyFill="1" applyBorder="1"/>
    <xf numFmtId="171" fontId="0" fillId="0" borderId="1" xfId="0" applyNumberFormat="1" applyBorder="1"/>
    <xf numFmtId="44" fontId="6" fillId="0" borderId="1" xfId="0" applyNumberFormat="1" applyFont="1" applyBorder="1"/>
    <xf numFmtId="165" fontId="0" fillId="0" borderId="0" xfId="0" applyNumberFormat="1"/>
    <xf numFmtId="164" fontId="0" fillId="0" borderId="13" xfId="4" applyNumberFormat="1" applyFont="1" applyBorder="1"/>
    <xf numFmtId="164" fontId="0" fillId="0" borderId="1" xfId="4" applyNumberFormat="1" applyFont="1" applyBorder="1"/>
    <xf numFmtId="164" fontId="0" fillId="0" borderId="9" xfId="4" applyNumberFormat="1" applyFont="1" applyBorder="1"/>
    <xf numFmtId="164" fontId="6" fillId="12" borderId="26" xfId="4" applyNumberFormat="1" applyFont="1" applyFill="1" applyBorder="1"/>
    <xf numFmtId="164" fontId="6" fillId="10" borderId="19" xfId="4" applyNumberFormat="1" applyFont="1" applyFill="1" applyBorder="1"/>
    <xf numFmtId="164" fontId="6" fillId="11" borderId="20" xfId="4" applyNumberFormat="1" applyFont="1" applyFill="1" applyBorder="1"/>
    <xf numFmtId="164" fontId="6" fillId="0" borderId="28" xfId="4" applyNumberFormat="1" applyFont="1" applyBorder="1"/>
    <xf numFmtId="164" fontId="6" fillId="0" borderId="22" xfId="4" applyNumberFormat="1" applyFont="1" applyBorder="1"/>
    <xf numFmtId="164" fontId="6" fillId="0" borderId="23" xfId="4" applyNumberFormat="1" applyFont="1" applyBorder="1"/>
    <xf numFmtId="166" fontId="0" fillId="0" borderId="0" xfId="0" applyNumberFormat="1"/>
    <xf numFmtId="44" fontId="0" fillId="0" borderId="0" xfId="0" applyNumberFormat="1"/>
    <xf numFmtId="172" fontId="0" fillId="5" borderId="7" xfId="0" applyNumberFormat="1" applyFill="1" applyBorder="1"/>
    <xf numFmtId="173" fontId="0" fillId="5" borderId="7" xfId="0" applyNumberFormat="1" applyFill="1" applyBorder="1"/>
    <xf numFmtId="172" fontId="0" fillId="0" borderId="1" xfId="0" applyNumberFormat="1" applyBorder="1" applyAlignment="1">
      <alignment vertical="center"/>
    </xf>
    <xf numFmtId="0" fontId="6" fillId="2" borderId="3" xfId="0" applyFont="1" applyFill="1" applyBorder="1"/>
    <xf numFmtId="0" fontId="7" fillId="5" borderId="7" xfId="0" applyFont="1" applyFill="1" applyBorder="1"/>
    <xf numFmtId="171" fontId="6" fillId="0" borderId="1" xfId="0" applyNumberFormat="1" applyFont="1" applyBorder="1"/>
    <xf numFmtId="0" fontId="0" fillId="5" borderId="7" xfId="0" applyFill="1" applyBorder="1" applyAlignment="1">
      <alignment vertical="center"/>
    </xf>
    <xf numFmtId="171" fontId="0" fillId="0" borderId="0" xfId="0" applyNumberFormat="1"/>
    <xf numFmtId="178" fontId="0" fillId="0" borderId="0" xfId="0" applyNumberFormat="1"/>
    <xf numFmtId="44" fontId="0" fillId="5" borderId="7" xfId="1" applyFont="1" applyFill="1" applyBorder="1" applyAlignment="1">
      <alignment vertical="center"/>
    </xf>
    <xf numFmtId="0" fontId="0" fillId="13" borderId="29" xfId="0" applyFill="1" applyBorder="1"/>
    <xf numFmtId="0" fontId="0" fillId="0" borderId="30" xfId="0" applyBorder="1"/>
    <xf numFmtId="174" fontId="0" fillId="0" borderId="0" xfId="0" applyNumberFormat="1"/>
    <xf numFmtId="172" fontId="5" fillId="5" borderId="7" xfId="0" applyNumberFormat="1" applyFont="1" applyFill="1" applyBorder="1"/>
    <xf numFmtId="173" fontId="0" fillId="0" borderId="1" xfId="0" applyNumberFormat="1" applyBorder="1" applyAlignment="1">
      <alignment horizontal="center" vertical="center"/>
    </xf>
    <xf numFmtId="172" fontId="0" fillId="0" borderId="1" xfId="0" applyNumberFormat="1" applyBorder="1"/>
    <xf numFmtId="173" fontId="0" fillId="0" borderId="1" xfId="0" applyNumberFormat="1" applyBorder="1"/>
    <xf numFmtId="44" fontId="2" fillId="0" borderId="1" xfId="1" applyFont="1" applyBorder="1"/>
    <xf numFmtId="0" fontId="8" fillId="0" borderId="0" xfId="0" applyFont="1"/>
    <xf numFmtId="0" fontId="8" fillId="0" borderId="1" xfId="0" applyFont="1" applyBorder="1"/>
    <xf numFmtId="9" fontId="8" fillId="0" borderId="1" xfId="0" applyNumberFormat="1" applyFont="1" applyBorder="1"/>
    <xf numFmtId="44" fontId="8" fillId="0" borderId="1" xfId="0" applyNumberFormat="1" applyFont="1" applyBorder="1"/>
    <xf numFmtId="44" fontId="2" fillId="0" borderId="1" xfId="0" applyNumberFormat="1" applyFont="1" applyBorder="1"/>
    <xf numFmtId="9" fontId="8" fillId="0" borderId="1" xfId="3" applyFont="1" applyBorder="1"/>
    <xf numFmtId="175" fontId="8" fillId="0" borderId="1" xfId="0" applyNumberFormat="1" applyFont="1" applyBorder="1"/>
    <xf numFmtId="0" fontId="9" fillId="5" borderId="7" xfId="0" applyFont="1" applyFill="1" applyBorder="1"/>
    <xf numFmtId="174" fontId="0" fillId="0" borderId="1" xfId="0" applyNumberFormat="1" applyBorder="1"/>
    <xf numFmtId="176" fontId="0" fillId="0" borderId="1" xfId="0" applyNumberFormat="1" applyBorder="1"/>
    <xf numFmtId="44" fontId="9" fillId="0" borderId="1" xfId="1" applyFont="1" applyBorder="1" applyAlignment="1">
      <alignment vertical="center"/>
    </xf>
    <xf numFmtId="173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31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44" fontId="0" fillId="0" borderId="31" xfId="1" applyFont="1" applyBorder="1" applyAlignment="1">
      <alignment vertical="center"/>
    </xf>
    <xf numFmtId="14" fontId="0" fillId="0" borderId="32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44" fontId="0" fillId="0" borderId="32" xfId="1" applyFont="1" applyBorder="1" applyAlignment="1">
      <alignment vertical="center"/>
    </xf>
    <xf numFmtId="14" fontId="0" fillId="0" borderId="33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44" fontId="0" fillId="0" borderId="33" xfId="1" applyFont="1" applyBorder="1" applyAlignment="1">
      <alignment vertical="center"/>
    </xf>
    <xf numFmtId="14" fontId="0" fillId="0" borderId="34" xfId="0" applyNumberFormat="1" applyBorder="1" applyAlignment="1">
      <alignment vertical="center"/>
    </xf>
    <xf numFmtId="14" fontId="0" fillId="0" borderId="35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44" fontId="0" fillId="0" borderId="30" xfId="1" applyFont="1" applyBorder="1" applyAlignment="1">
      <alignment vertical="center"/>
    </xf>
    <xf numFmtId="173" fontId="0" fillId="5" borderId="7" xfId="0" applyNumberFormat="1" applyFill="1" applyBorder="1" applyAlignment="1">
      <alignment horizontal="center"/>
    </xf>
    <xf numFmtId="44" fontId="6" fillId="0" borderId="0" xfId="1" applyFont="1"/>
    <xf numFmtId="14" fontId="0" fillId="0" borderId="13" xfId="0" applyNumberFormat="1" applyBorder="1" applyAlignment="1">
      <alignment vertical="center"/>
    </xf>
    <xf numFmtId="44" fontId="6" fillId="0" borderId="13" xfId="1" applyFont="1" applyBorder="1"/>
    <xf numFmtId="0" fontId="0" fillId="0" borderId="33" xfId="0" applyBorder="1"/>
    <xf numFmtId="14" fontId="0" fillId="0" borderId="37" xfId="0" applyNumberFormat="1" applyBorder="1" applyAlignment="1">
      <alignment vertical="center"/>
    </xf>
    <xf numFmtId="0" fontId="0" fillId="0" borderId="32" xfId="0" applyBorder="1"/>
    <xf numFmtId="14" fontId="0" fillId="0" borderId="38" xfId="0" applyNumberFormat="1" applyBorder="1" applyAlignment="1">
      <alignment vertical="center"/>
    </xf>
    <xf numFmtId="14" fontId="0" fillId="0" borderId="0" xfId="0" applyNumberFormat="1" applyAlignment="1">
      <alignment horizontal="right" vertical="center"/>
    </xf>
    <xf numFmtId="1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38" xfId="0" applyBorder="1"/>
    <xf numFmtId="173" fontId="0" fillId="14" borderId="39" xfId="0" applyNumberFormat="1" applyFill="1" applyBorder="1"/>
    <xf numFmtId="0" fontId="0" fillId="0" borderId="13" xfId="0" applyBorder="1" applyAlignment="1">
      <alignment vertical="center"/>
    </xf>
    <xf numFmtId="14" fontId="0" fillId="5" borderId="7" xfId="0" applyNumberFormat="1" applyFill="1" applyBorder="1"/>
    <xf numFmtId="0" fontId="11" fillId="0" borderId="47" xfId="2" applyFont="1" applyBorder="1" applyAlignment="1">
      <alignment vertical="center"/>
    </xf>
    <xf numFmtId="0" fontId="12" fillId="0" borderId="47" xfId="2" applyFont="1" applyBorder="1" applyAlignment="1">
      <alignment vertical="center"/>
    </xf>
    <xf numFmtId="0" fontId="13" fillId="0" borderId="47" xfId="2" applyFont="1" applyBorder="1" applyAlignment="1">
      <alignment vertical="center"/>
    </xf>
    <xf numFmtId="0" fontId="14" fillId="0" borderId="47" xfId="2" applyFont="1" applyBorder="1" applyAlignment="1">
      <alignment vertical="center"/>
    </xf>
    <xf numFmtId="0" fontId="15" fillId="0" borderId="47" xfId="2" applyFont="1" applyBorder="1" applyAlignment="1">
      <alignment vertical="center"/>
    </xf>
    <xf numFmtId="0" fontId="16" fillId="0" borderId="47" xfId="2" applyFont="1" applyBorder="1" applyAlignment="1">
      <alignment vertical="center"/>
    </xf>
    <xf numFmtId="0" fontId="17" fillId="0" borderId="47" xfId="2" applyFont="1" applyBorder="1" applyAlignment="1">
      <alignment vertical="center"/>
    </xf>
    <xf numFmtId="0" fontId="18" fillId="0" borderId="47" xfId="2" applyFont="1" applyBorder="1" applyAlignment="1">
      <alignment vertical="center"/>
    </xf>
    <xf numFmtId="0" fontId="19" fillId="0" borderId="47" xfId="2" applyFont="1" applyBorder="1" applyAlignment="1">
      <alignment vertical="center"/>
    </xf>
    <xf numFmtId="0" fontId="20" fillId="0" borderId="47" xfId="2" applyFont="1" applyBorder="1" applyAlignment="1">
      <alignment vertical="center"/>
    </xf>
    <xf numFmtId="0" fontId="21" fillId="0" borderId="47" xfId="2" applyFont="1" applyBorder="1" applyAlignment="1">
      <alignment vertical="center"/>
    </xf>
    <xf numFmtId="0" fontId="22" fillId="0" borderId="47" xfId="2" applyFont="1" applyBorder="1" applyAlignment="1">
      <alignment vertical="center"/>
    </xf>
    <xf numFmtId="0" fontId="23" fillId="0" borderId="47" xfId="2" applyFont="1" applyBorder="1" applyAlignment="1">
      <alignment vertical="center"/>
    </xf>
    <xf numFmtId="0" fontId="24" fillId="0" borderId="47" xfId="2" applyFont="1" applyBorder="1" applyAlignment="1">
      <alignment vertical="center"/>
    </xf>
    <xf numFmtId="0" fontId="25" fillId="0" borderId="47" xfId="2" applyFont="1" applyBorder="1" applyAlignment="1">
      <alignment vertical="center"/>
    </xf>
    <xf numFmtId="0" fontId="26" fillId="0" borderId="47" xfId="2" applyFont="1" applyBorder="1" applyAlignment="1">
      <alignment vertical="center"/>
    </xf>
    <xf numFmtId="0" fontId="27" fillId="0" borderId="47" xfId="2" applyFont="1" applyBorder="1" applyAlignment="1">
      <alignment vertical="center"/>
    </xf>
    <xf numFmtId="0" fontId="28" fillId="0" borderId="47" xfId="2" applyFont="1" applyBorder="1" applyAlignment="1">
      <alignment vertical="center"/>
    </xf>
    <xf numFmtId="0" fontId="29" fillId="0" borderId="47" xfId="2" applyFont="1" applyBorder="1" applyAlignment="1">
      <alignment vertical="center"/>
    </xf>
    <xf numFmtId="0" fontId="30" fillId="0" borderId="47" xfId="2" applyFont="1" applyBorder="1" applyAlignment="1">
      <alignment vertical="center"/>
    </xf>
    <xf numFmtId="0" fontId="31" fillId="0" borderId="47" xfId="2" applyFont="1" applyBorder="1" applyAlignment="1">
      <alignment vertical="center"/>
    </xf>
    <xf numFmtId="0" fontId="32" fillId="0" borderId="47" xfId="2" applyFont="1" applyBorder="1" applyAlignment="1">
      <alignment vertical="center"/>
    </xf>
    <xf numFmtId="0" fontId="33" fillId="0" borderId="47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35" fillId="0" borderId="47" xfId="2" applyFont="1" applyBorder="1" applyAlignment="1">
      <alignment vertical="center"/>
    </xf>
    <xf numFmtId="0" fontId="36" fillId="0" borderId="47" xfId="2" applyFont="1" applyBorder="1" applyAlignment="1">
      <alignment vertical="center"/>
    </xf>
    <xf numFmtId="0" fontId="37" fillId="0" borderId="47" xfId="2" applyFont="1" applyBorder="1" applyAlignment="1">
      <alignment vertical="center"/>
    </xf>
    <xf numFmtId="0" fontId="38" fillId="0" borderId="47" xfId="2" applyFont="1" applyBorder="1" applyAlignment="1">
      <alignment vertical="center"/>
    </xf>
    <xf numFmtId="0" fontId="39" fillId="0" borderId="47" xfId="2" applyFont="1" applyBorder="1" applyAlignment="1">
      <alignment vertical="center"/>
    </xf>
    <xf numFmtId="0" fontId="40" fillId="0" borderId="47" xfId="2" applyFont="1" applyBorder="1" applyAlignment="1">
      <alignment vertical="center"/>
    </xf>
    <xf numFmtId="0" fontId="41" fillId="0" borderId="47" xfId="2" applyFont="1" applyBorder="1" applyAlignment="1">
      <alignment vertical="center"/>
    </xf>
    <xf numFmtId="0" fontId="42" fillId="0" borderId="47" xfId="2" applyFont="1" applyBorder="1" applyAlignment="1">
      <alignment vertical="center"/>
    </xf>
    <xf numFmtId="0" fontId="43" fillId="0" borderId="47" xfId="2" applyFont="1" applyBorder="1" applyAlignment="1">
      <alignment vertical="center"/>
    </xf>
    <xf numFmtId="0" fontId="44" fillId="0" borderId="47" xfId="2" applyFont="1" applyBorder="1" applyAlignment="1">
      <alignment vertical="center"/>
    </xf>
    <xf numFmtId="0" fontId="45" fillId="0" borderId="47" xfId="2" applyFont="1" applyBorder="1" applyAlignment="1">
      <alignment vertical="center"/>
    </xf>
    <xf numFmtId="0" fontId="46" fillId="0" borderId="1" xfId="2" applyFont="1" applyBorder="1" applyAlignment="1">
      <alignment vertical="center"/>
    </xf>
    <xf numFmtId="0" fontId="47" fillId="0" borderId="1" xfId="2" applyFont="1" applyBorder="1" applyAlignment="1">
      <alignment vertical="center"/>
    </xf>
    <xf numFmtId="0" fontId="48" fillId="0" borderId="1" xfId="2" applyFont="1" applyBorder="1" applyAlignment="1">
      <alignment vertical="center"/>
    </xf>
    <xf numFmtId="0" fontId="49" fillId="0" borderId="1" xfId="2" applyFont="1" applyBorder="1" applyAlignment="1">
      <alignment vertical="center"/>
    </xf>
    <xf numFmtId="0" fontId="50" fillId="0" borderId="1" xfId="2" applyFont="1" applyBorder="1" applyAlignment="1">
      <alignment vertical="center"/>
    </xf>
    <xf numFmtId="0" fontId="51" fillId="0" borderId="1" xfId="2" applyFont="1" applyBorder="1" applyAlignment="1">
      <alignment vertical="center"/>
    </xf>
    <xf numFmtId="0" fontId="52" fillId="0" borderId="1" xfId="2" applyFont="1" applyBorder="1" applyAlignment="1">
      <alignment vertical="center"/>
    </xf>
    <xf numFmtId="0" fontId="53" fillId="0" borderId="1" xfId="2" applyFont="1" applyBorder="1" applyAlignment="1">
      <alignment vertical="center"/>
    </xf>
    <xf numFmtId="44" fontId="0" fillId="5" borderId="7" xfId="1" applyFont="1" applyFill="1" applyBorder="1"/>
    <xf numFmtId="0" fontId="0" fillId="5" borderId="51" xfId="0" applyFill="1" applyBorder="1"/>
    <xf numFmtId="44" fontId="0" fillId="5" borderId="51" xfId="1" applyFont="1" applyFill="1" applyBorder="1"/>
    <xf numFmtId="44" fontId="0" fillId="0" borderId="1" xfId="1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15" borderId="41" xfId="0" applyFill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0" fillId="16" borderId="50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14" fontId="6" fillId="0" borderId="2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</cellXfs>
  <cellStyles count="5">
    <cellStyle name="Hiperlink" xfId="2" builtinId="8" customBuiltin="1"/>
    <cellStyle name="Moeda" xfId="1" builtinId="4" customBuiltin="1"/>
    <cellStyle name="Normal" xfId="0" builtinId="0" customBuiltin="1"/>
    <cellStyle name="Porcentagem" xfId="3" builtinId="5" customBuiltin="1"/>
    <cellStyle name="Vírgula" xfId="4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72959008" count="1">
        <pm:charStyle name="Normal" fontId="0" Id="1"/>
      </pm:charStyles>
      <pm:colors xmlns:pm="smNativeData" id="1572959008" count="5">
        <pm:color name="Cor 24" rgb="0563C1"/>
        <pm:color name="Cor 25" rgb="E7E6E6"/>
        <pm:color name="Cor 26" rgb="A5A5A5"/>
        <pm:color name="Cor 27" rgb="9BC2E6"/>
        <pm:color name="Cor 28" rgb="BDD7EE"/>
      </pm:color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cli/Dropbox/NECO/Drop%20at&#233;%202017/OR&#199;AMENTOS%20ANTERIORES/OR&#199;AMENTO%202017/Planilhas%20da%20subunidade/PPG%20EM%20EDUCA&#199;&#195;O%20MATEM&#193;TICA%20E%20ENSINO%20DE%20F&#205;S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cli/Dropbox/NECO/Drop%20at&#233;%202017/OR&#199;AMENTOS%20ANTERIORES/OR&#199;AMENTO%202017/Planilhas%20da%20subunidade/DEP.%20DE%20ECOLOGIA%20E%20EVOLU&#199;&#195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E SERVIÇO"/>
      <sheetName val="DIÁRIAS E PASSAGENS"/>
      <sheetName val="PERMANENTE"/>
    </sheetNames>
    <sheetDataSet>
      <sheetData sheetId="0">
        <row r="49">
          <cell r="F49">
            <v>1000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E SERVIÇO"/>
      <sheetName val="DIÁRIAS E PASSAGENS"/>
      <sheetName val="PERMANENTE"/>
    </sheetNames>
    <sheetDataSet>
      <sheetData sheetId="0">
        <row r="73">
          <cell r="F73">
            <v>36.549999999999997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8" sqref="E8"/>
    </sheetView>
  </sheetViews>
  <sheetFormatPr defaultRowHeight="15" x14ac:dyDescent="0.25"/>
  <cols>
    <col min="1" max="1" width="10.7109375" customWidth="1"/>
    <col min="2" max="2" width="11.85546875" customWidth="1"/>
    <col min="3" max="3" width="12.140625" customWidth="1"/>
    <col min="4" max="4" width="90.42578125" customWidth="1"/>
    <col min="5" max="5" width="13.28515625" customWidth="1"/>
    <col min="6" max="6" width="38.28515625" customWidth="1"/>
    <col min="7" max="7" width="13.28515625" customWidth="1"/>
  </cols>
  <sheetData>
    <row r="1" spans="1:8" ht="18.75" x14ac:dyDescent="0.3">
      <c r="A1" s="207" t="s">
        <v>0</v>
      </c>
      <c r="B1" s="208"/>
      <c r="C1" s="208"/>
      <c r="D1" s="208"/>
      <c r="E1" s="208"/>
      <c r="F1" s="208"/>
      <c r="G1" s="209"/>
    </row>
    <row r="2" spans="1:8" x14ac:dyDescent="0.25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5</v>
      </c>
      <c r="H2" s="45" t="s">
        <v>7</v>
      </c>
    </row>
    <row r="3" spans="1:8" x14ac:dyDescent="0.25">
      <c r="A3" s="109">
        <v>1006</v>
      </c>
      <c r="B3" s="110">
        <v>825</v>
      </c>
      <c r="C3" s="10" t="s">
        <v>8</v>
      </c>
      <c r="D3" s="10" t="s">
        <v>9</v>
      </c>
      <c r="E3" s="23">
        <v>44127.5</v>
      </c>
      <c r="F3" s="110">
        <v>7162</v>
      </c>
      <c r="G3" s="23">
        <v>44127.5</v>
      </c>
      <c r="H3" s="10">
        <v>802747</v>
      </c>
    </row>
    <row r="4" spans="1:8" x14ac:dyDescent="0.25">
      <c r="A4" s="109">
        <v>807</v>
      </c>
      <c r="B4" s="110">
        <v>879</v>
      </c>
      <c r="C4" s="10" t="s">
        <v>8</v>
      </c>
      <c r="D4" s="10" t="s">
        <v>10</v>
      </c>
      <c r="E4" s="23">
        <v>17999.990000000002</v>
      </c>
      <c r="F4" s="110">
        <v>8819</v>
      </c>
      <c r="G4" s="23">
        <v>17999.990000000002</v>
      </c>
      <c r="H4" s="10">
        <v>803132</v>
      </c>
    </row>
    <row r="5" spans="1:8" x14ac:dyDescent="0.25">
      <c r="A5" s="109">
        <v>1408</v>
      </c>
      <c r="B5" s="110">
        <v>952</v>
      </c>
      <c r="C5" s="10" t="s">
        <v>8</v>
      </c>
      <c r="D5" s="10" t="s">
        <v>11</v>
      </c>
      <c r="E5" s="23">
        <v>18000</v>
      </c>
      <c r="F5" s="110">
        <v>9864</v>
      </c>
      <c r="G5" s="23">
        <v>18000</v>
      </c>
      <c r="H5" s="10">
        <v>803131</v>
      </c>
    </row>
    <row r="6" spans="1:8" x14ac:dyDescent="0.25">
      <c r="A6" s="109">
        <v>2908</v>
      </c>
      <c r="B6" s="110">
        <v>925</v>
      </c>
      <c r="C6" s="10" t="s">
        <v>12</v>
      </c>
      <c r="D6" s="10" t="s">
        <v>13</v>
      </c>
      <c r="E6" s="23">
        <v>15000</v>
      </c>
      <c r="F6" s="71"/>
      <c r="G6" s="23"/>
      <c r="H6" s="10"/>
    </row>
    <row r="7" spans="1:8" x14ac:dyDescent="0.25">
      <c r="A7" s="109">
        <v>909</v>
      </c>
      <c r="B7" s="110">
        <v>1019</v>
      </c>
      <c r="C7" s="10" t="s">
        <v>14</v>
      </c>
      <c r="D7" s="10" t="s">
        <v>15</v>
      </c>
      <c r="E7" s="23">
        <v>5800</v>
      </c>
      <c r="F7" s="71"/>
      <c r="G7" s="23"/>
      <c r="H7" s="10"/>
    </row>
    <row r="8" spans="1:8" x14ac:dyDescent="0.25">
      <c r="A8" s="109">
        <v>1710</v>
      </c>
      <c r="B8" s="110">
        <v>1096</v>
      </c>
      <c r="C8" s="10" t="s">
        <v>8</v>
      </c>
      <c r="D8" s="10" t="s">
        <v>16</v>
      </c>
      <c r="E8" s="23">
        <v>15712.85</v>
      </c>
      <c r="F8" s="110"/>
      <c r="G8" s="23"/>
      <c r="H8" s="10"/>
    </row>
    <row r="9" spans="1:8" x14ac:dyDescent="0.25">
      <c r="A9" s="109">
        <v>1710</v>
      </c>
      <c r="B9" s="110">
        <v>1098</v>
      </c>
      <c r="C9" s="10" t="s">
        <v>8</v>
      </c>
      <c r="D9" s="10" t="s">
        <v>17</v>
      </c>
      <c r="E9" s="23">
        <v>3239.94</v>
      </c>
      <c r="F9" s="71"/>
      <c r="G9" s="23"/>
      <c r="H9" s="10"/>
    </row>
    <row r="10" spans="1:8" x14ac:dyDescent="0.25">
      <c r="A10" s="68"/>
      <c r="B10" s="71"/>
      <c r="C10" s="10"/>
      <c r="D10" s="10"/>
      <c r="E10" s="23"/>
      <c r="F10" s="71"/>
      <c r="G10" s="23"/>
      <c r="H10" s="10"/>
    </row>
    <row r="11" spans="1:8" x14ac:dyDescent="0.25">
      <c r="A11" s="68"/>
      <c r="B11" s="71"/>
      <c r="C11" s="10"/>
      <c r="D11" s="10"/>
      <c r="E11" s="23"/>
      <c r="F11" s="71"/>
      <c r="G11" s="23"/>
      <c r="H11" s="10"/>
    </row>
    <row r="12" spans="1:8" x14ac:dyDescent="0.25">
      <c r="A12" s="68"/>
      <c r="B12" s="71"/>
      <c r="C12" s="10"/>
      <c r="D12" s="10"/>
      <c r="E12" s="23"/>
      <c r="F12" s="10"/>
      <c r="G12" s="23"/>
      <c r="H12" s="10"/>
    </row>
    <row r="13" spans="1:8" x14ac:dyDescent="0.25">
      <c r="A13" s="68"/>
      <c r="B13" s="71"/>
      <c r="C13" s="10"/>
      <c r="D13" s="10"/>
      <c r="E13" s="23"/>
      <c r="F13" s="71"/>
      <c r="G13" s="23"/>
      <c r="H13" s="10"/>
    </row>
    <row r="14" spans="1:8" x14ac:dyDescent="0.25">
      <c r="A14" s="68"/>
      <c r="B14" s="71"/>
      <c r="C14" s="10"/>
      <c r="D14" s="10"/>
      <c r="E14" s="23"/>
      <c r="F14" s="110"/>
      <c r="G14" s="23"/>
      <c r="H14" s="10"/>
    </row>
    <row r="15" spans="1:8" x14ac:dyDescent="0.25">
      <c r="A15" s="68"/>
      <c r="B15" s="71"/>
      <c r="C15" s="10"/>
      <c r="D15" s="10"/>
      <c r="E15" s="23"/>
      <c r="F15" s="71"/>
      <c r="G15" s="23"/>
      <c r="H15" s="10"/>
    </row>
    <row r="16" spans="1:8" x14ac:dyDescent="0.25">
      <c r="A16" s="68"/>
      <c r="B16" s="71"/>
      <c r="C16" s="10"/>
      <c r="D16" s="10"/>
      <c r="E16" s="23"/>
      <c r="F16" s="71"/>
      <c r="G16" s="23"/>
      <c r="H16" s="10"/>
    </row>
    <row r="17" spans="1:8" x14ac:dyDescent="0.25">
      <c r="A17" s="68"/>
      <c r="B17" s="71"/>
      <c r="C17" s="10"/>
      <c r="D17" s="10"/>
      <c r="E17" s="23"/>
      <c r="F17" s="71"/>
      <c r="G17" s="23"/>
      <c r="H17" s="10"/>
    </row>
    <row r="18" spans="1:8" x14ac:dyDescent="0.25">
      <c r="A18" s="68"/>
      <c r="B18" s="71"/>
      <c r="C18" s="10"/>
      <c r="D18" s="10"/>
      <c r="E18" s="23"/>
      <c r="F18" s="71"/>
      <c r="G18" s="23"/>
      <c r="H18" s="10"/>
    </row>
    <row r="21" spans="1:8" x14ac:dyDescent="0.25">
      <c r="F21" s="110"/>
    </row>
  </sheetData>
  <mergeCells count="1">
    <mergeCell ref="A1:G1"/>
  </mergeCell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6" workbookViewId="0">
      <selection activeCell="B34" sqref="B34:B35"/>
    </sheetView>
  </sheetViews>
  <sheetFormatPr defaultRowHeight="15" x14ac:dyDescent="0.25"/>
  <cols>
    <col min="1" max="1" width="11.5703125" customWidth="1"/>
    <col min="2" max="2" width="14.140625" customWidth="1"/>
    <col min="3" max="3" width="80.4257812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2.140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739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Geral!D13</f>
        <v>8634.9166499999992</v>
      </c>
      <c r="F6" s="211" t="s">
        <v>687</v>
      </c>
      <c r="G6" s="212"/>
      <c r="H6" s="14" t="s">
        <v>582</v>
      </c>
      <c r="I6" s="24">
        <f>Geral!E13</f>
        <v>0</v>
      </c>
      <c r="K6" s="230" t="s">
        <v>688</v>
      </c>
      <c r="L6" s="230"/>
      <c r="M6" s="4" t="s">
        <v>582</v>
      </c>
      <c r="N6" s="24">
        <f>Geral!F13</f>
        <v>0</v>
      </c>
    </row>
    <row r="7" spans="1:14" ht="15" customHeight="1" x14ac:dyDescent="0.25">
      <c r="A7" s="230"/>
      <c r="B7" s="230"/>
      <c r="C7" s="3" t="s">
        <v>583</v>
      </c>
      <c r="D7" s="24">
        <f>SUM(D10:D26)</f>
        <v>8634.92</v>
      </c>
      <c r="F7" s="213"/>
      <c r="G7" s="214"/>
      <c r="H7" s="14" t="s">
        <v>583</v>
      </c>
      <c r="I7" s="24">
        <f>SUM(I10:I33)</f>
        <v>-4.9999999999954525E-3</v>
      </c>
      <c r="K7" s="230"/>
      <c r="L7" s="230"/>
      <c r="M7" s="4" t="s">
        <v>583</v>
      </c>
      <c r="N7" s="24">
        <f>SUM(N10:N33)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-3.3500000008643838E-3</v>
      </c>
      <c r="F8" s="215"/>
      <c r="G8" s="216"/>
      <c r="H8" s="14" t="s">
        <v>584</v>
      </c>
      <c r="I8" s="24">
        <f>I6-I7</f>
        <v>4.9999999999954525E-3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43543</v>
      </c>
      <c r="B10" s="6"/>
      <c r="C10" s="7" t="s">
        <v>692</v>
      </c>
      <c r="D10" s="24">
        <v>-4.1900000000000004</v>
      </c>
      <c r="F10" s="5">
        <v>43650</v>
      </c>
      <c r="G10" s="6"/>
      <c r="H10" s="7" t="s">
        <v>740</v>
      </c>
      <c r="I10" s="24">
        <v>-134.61000000000001</v>
      </c>
      <c r="K10" s="8"/>
      <c r="L10" s="6"/>
      <c r="M10" s="7"/>
      <c r="N10" s="24"/>
    </row>
    <row r="11" spans="1:14" x14ac:dyDescent="0.25">
      <c r="A11" s="5">
        <v>43608</v>
      </c>
      <c r="B11" s="6"/>
      <c r="C11" s="7" t="s">
        <v>741</v>
      </c>
      <c r="D11" s="24">
        <f>300+350+350+350</f>
        <v>1350</v>
      </c>
      <c r="F11" s="5">
        <v>43650</v>
      </c>
      <c r="G11" s="6"/>
      <c r="H11" s="7" t="s">
        <v>742</v>
      </c>
      <c r="I11" s="24">
        <v>134.61000000000001</v>
      </c>
      <c r="K11" s="8"/>
      <c r="L11" s="6"/>
      <c r="M11" s="7"/>
      <c r="N11" s="24"/>
    </row>
    <row r="12" spans="1:14" x14ac:dyDescent="0.25">
      <c r="A12" s="5">
        <v>43640</v>
      </c>
      <c r="B12" s="6"/>
      <c r="C12" s="7" t="s">
        <v>743</v>
      </c>
      <c r="D12" s="24">
        <v>350</v>
      </c>
      <c r="F12" s="5">
        <v>43671</v>
      </c>
      <c r="G12" s="6"/>
      <c r="H12" s="7" t="s">
        <v>740</v>
      </c>
      <c r="I12" s="24">
        <v>-140.38999999999999</v>
      </c>
      <c r="K12" s="8"/>
      <c r="L12" s="6"/>
      <c r="M12" s="7"/>
      <c r="N12" s="24"/>
    </row>
    <row r="13" spans="1:14" x14ac:dyDescent="0.25">
      <c r="A13" s="5">
        <v>43650</v>
      </c>
      <c r="B13" s="6"/>
      <c r="C13" s="7" t="s">
        <v>744</v>
      </c>
      <c r="D13" s="24">
        <v>134.61000000000001</v>
      </c>
      <c r="F13" s="5">
        <v>43671</v>
      </c>
      <c r="G13" s="9"/>
      <c r="H13" s="10" t="s">
        <v>745</v>
      </c>
      <c r="I13" s="23">
        <v>140.38999999999999</v>
      </c>
      <c r="K13" s="8"/>
      <c r="L13" s="6"/>
      <c r="M13" s="7"/>
      <c r="N13" s="24"/>
    </row>
    <row r="14" spans="1:14" x14ac:dyDescent="0.25">
      <c r="A14" s="5">
        <v>43661</v>
      </c>
      <c r="B14" s="6"/>
      <c r="C14" s="7" t="s">
        <v>746</v>
      </c>
      <c r="D14" s="23">
        <v>350</v>
      </c>
      <c r="F14" s="5">
        <v>43762</v>
      </c>
      <c r="G14" s="6"/>
      <c r="H14" s="7" t="s">
        <v>740</v>
      </c>
      <c r="I14" s="24">
        <v>-926.35</v>
      </c>
      <c r="K14" s="8"/>
      <c r="L14" s="6"/>
      <c r="M14" s="7"/>
      <c r="N14" s="24"/>
    </row>
    <row r="15" spans="1:14" x14ac:dyDescent="0.25">
      <c r="A15" s="5">
        <v>43664</v>
      </c>
      <c r="B15" s="6"/>
      <c r="C15" s="7" t="s">
        <v>747</v>
      </c>
      <c r="D15" s="24">
        <v>64.510000000000019</v>
      </c>
      <c r="F15" s="5">
        <v>43762</v>
      </c>
      <c r="G15" s="9"/>
      <c r="H15" s="10" t="s">
        <v>748</v>
      </c>
      <c r="I15" s="24">
        <f>((100.5*4)+(100.45*7)+(109.1*2))*0.7</f>
        <v>926.34500000000003</v>
      </c>
      <c r="K15" s="8"/>
      <c r="L15" s="6"/>
      <c r="M15" s="7"/>
      <c r="N15" s="24"/>
    </row>
    <row r="16" spans="1:14" x14ac:dyDescent="0.25">
      <c r="A16" s="5">
        <v>43671</v>
      </c>
      <c r="B16" s="6"/>
      <c r="C16" s="7" t="s">
        <v>744</v>
      </c>
      <c r="D16" s="24">
        <v>140.38999999999999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43703</v>
      </c>
      <c r="B17" s="95">
        <v>10936</v>
      </c>
      <c r="C17" s="7" t="s">
        <v>705</v>
      </c>
      <c r="D17" s="24">
        <v>251.73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43721</v>
      </c>
      <c r="B18" s="95">
        <v>11784</v>
      </c>
      <c r="C18" s="7" t="s">
        <v>705</v>
      </c>
      <c r="D18" s="24">
        <v>177.69999999999996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43726</v>
      </c>
      <c r="B19" s="95"/>
      <c r="C19" s="7" t="s">
        <v>710</v>
      </c>
      <c r="D19" s="23">
        <v>800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43759</v>
      </c>
      <c r="B20" s="6"/>
      <c r="C20" s="7" t="s">
        <v>701</v>
      </c>
      <c r="D20" s="23">
        <v>5020.17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95"/>
      <c r="C21" s="7"/>
      <c r="D21" s="23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95"/>
      <c r="C22" s="7"/>
      <c r="D22" s="23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95"/>
      <c r="C23" s="7"/>
      <c r="D23" s="23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95"/>
      <c r="C24" s="7"/>
      <c r="D24" s="23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95"/>
      <c r="C25" s="7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95"/>
      <c r="C26" s="7"/>
      <c r="D26" s="23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232" t="s">
        <v>718</v>
      </c>
      <c r="B33" s="232"/>
      <c r="C33" s="232"/>
      <c r="D33" s="148">
        <f>D19</f>
        <v>800</v>
      </c>
      <c r="F33" s="5"/>
      <c r="G33" s="6"/>
      <c r="H33" s="7"/>
      <c r="I33" s="24"/>
      <c r="K33" s="8"/>
      <c r="L33" s="6"/>
      <c r="M33" s="7"/>
      <c r="N33" s="24"/>
    </row>
    <row r="34" spans="1:14" x14ac:dyDescent="0.25">
      <c r="A34" s="5">
        <v>43726</v>
      </c>
      <c r="B34" s="95">
        <v>12204</v>
      </c>
      <c r="C34" s="7" t="s">
        <v>705</v>
      </c>
      <c r="D34" s="24">
        <v>52.95</v>
      </c>
    </row>
    <row r="35" spans="1:14" x14ac:dyDescent="0.25">
      <c r="A35" s="5">
        <v>43768</v>
      </c>
      <c r="B35" s="95">
        <v>12778</v>
      </c>
      <c r="C35" s="7" t="s">
        <v>705</v>
      </c>
      <c r="D35" s="24">
        <v>136.5</v>
      </c>
    </row>
    <row r="36" spans="1:14" x14ac:dyDescent="0.25">
      <c r="A36" s="10"/>
      <c r="B36" s="147"/>
      <c r="C36" s="10"/>
      <c r="D36" s="23"/>
    </row>
    <row r="37" spans="1:14" x14ac:dyDescent="0.25">
      <c r="A37" s="10"/>
      <c r="B37" s="147"/>
      <c r="C37" s="10"/>
      <c r="D37" s="23"/>
    </row>
    <row r="38" spans="1:14" x14ac:dyDescent="0.25">
      <c r="A38" s="10"/>
      <c r="B38" s="147"/>
      <c r="C38" s="10"/>
      <c r="D38" s="23"/>
    </row>
    <row r="39" spans="1:14" x14ac:dyDescent="0.25">
      <c r="A39" s="10"/>
      <c r="B39" s="147"/>
      <c r="C39" s="10"/>
      <c r="D39" s="23"/>
    </row>
    <row r="40" spans="1:14" x14ac:dyDescent="0.25">
      <c r="A40" s="10"/>
      <c r="B40" s="147"/>
      <c r="C40" s="10"/>
      <c r="D40" s="23"/>
    </row>
    <row r="41" spans="1:14" x14ac:dyDescent="0.25">
      <c r="A41" s="10"/>
      <c r="B41" s="147"/>
      <c r="C41" s="10"/>
      <c r="D41" s="23"/>
    </row>
    <row r="42" spans="1:14" x14ac:dyDescent="0.25">
      <c r="A42" s="10"/>
      <c r="B42" s="147"/>
      <c r="C42" s="10"/>
      <c r="D42" s="23"/>
    </row>
    <row r="43" spans="1:14" x14ac:dyDescent="0.25">
      <c r="A43" s="151"/>
      <c r="B43" s="152"/>
      <c r="C43" s="151"/>
      <c r="D43" s="23"/>
    </row>
    <row r="44" spans="1:14" x14ac:dyDescent="0.25">
      <c r="A44" s="232" t="s">
        <v>703</v>
      </c>
      <c r="B44" s="232"/>
      <c r="C44" s="232"/>
      <c r="D44" s="148">
        <f>D33-SUM(D34:D43)</f>
        <v>610.54999999999995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33:C33"/>
    <mergeCell ref="A44:C44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14" sqref="A14:C14"/>
    </sheetView>
  </sheetViews>
  <sheetFormatPr defaultRowHeight="15" x14ac:dyDescent="0.25"/>
  <cols>
    <col min="1" max="1" width="11.5703125" customWidth="1"/>
    <col min="2" max="2" width="14.140625" customWidth="1"/>
    <col min="3" max="3" width="60.7109375" customWidth="1"/>
    <col min="4" max="4" width="15.140625" customWidth="1"/>
    <col min="5" max="5" width="3.7109375" customWidth="1"/>
    <col min="6" max="6" width="5" customWidth="1"/>
    <col min="7" max="7" width="11.28515625" customWidth="1"/>
    <col min="8" max="8" width="35.5703125" customWidth="1"/>
    <col min="9" max="9" width="7.7109375" customWidth="1"/>
    <col min="10" max="10" width="3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Geral!D14</f>
        <v>8634.9166499999992</v>
      </c>
      <c r="F6" s="211" t="s">
        <v>687</v>
      </c>
      <c r="G6" s="212"/>
      <c r="H6" s="14" t="s">
        <v>582</v>
      </c>
      <c r="I6" s="24">
        <f>Geral!E14</f>
        <v>0</v>
      </c>
      <c r="K6" s="230" t="s">
        <v>688</v>
      </c>
      <c r="L6" s="230"/>
      <c r="M6" s="4" t="s">
        <v>582</v>
      </c>
      <c r="N6" s="24">
        <f>Geral!F14</f>
        <v>0</v>
      </c>
    </row>
    <row r="7" spans="1:14" ht="15" customHeight="1" x14ac:dyDescent="0.25">
      <c r="A7" s="230"/>
      <c r="B7" s="230"/>
      <c r="C7" s="3" t="s">
        <v>583</v>
      </c>
      <c r="D7" s="24">
        <f>SUM(D10:D25)</f>
        <v>8634.92</v>
      </c>
      <c r="F7" s="213"/>
      <c r="G7" s="214"/>
      <c r="H7" s="14" t="s">
        <v>583</v>
      </c>
      <c r="I7" s="24">
        <f>SUM(I10:I25)</f>
        <v>0</v>
      </c>
      <c r="K7" s="230"/>
      <c r="L7" s="230"/>
      <c r="M7" s="4" t="s">
        <v>583</v>
      </c>
      <c r="N7" s="24">
        <f>SUM(N10:N25)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-3.3500000008643838E-3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43613</v>
      </c>
      <c r="B10" s="6"/>
      <c r="C10" s="7" t="s">
        <v>692</v>
      </c>
      <c r="D10" s="24">
        <v>-1000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43656</v>
      </c>
      <c r="B11" s="6" t="s">
        <v>750</v>
      </c>
      <c r="C11" s="76" t="s">
        <v>751</v>
      </c>
      <c r="D11" s="79">
        <v>47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43698</v>
      </c>
      <c r="B12" s="6"/>
      <c r="C12" s="7" t="s">
        <v>752</v>
      </c>
      <c r="D12" s="24">
        <v>800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11">
        <v>43734</v>
      </c>
      <c r="B13" s="6"/>
      <c r="C13" s="7" t="s">
        <v>753</v>
      </c>
      <c r="D13" s="24">
        <v>2800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43759</v>
      </c>
      <c r="B14" s="6"/>
      <c r="C14" s="7" t="s">
        <v>701</v>
      </c>
      <c r="D14" s="24">
        <v>5987.92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/>
      <c r="B15" s="6"/>
      <c r="C15" s="7"/>
      <c r="D15" s="24"/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/>
      <c r="B16" s="6"/>
      <c r="C16" s="7"/>
      <c r="D16" s="24"/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/>
      <c r="B17" s="6"/>
      <c r="C17" s="7"/>
      <c r="D17" s="24"/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D26" s="1"/>
    </row>
    <row r="27" spans="1:14" x14ac:dyDescent="0.25">
      <c r="D27" s="1"/>
    </row>
    <row r="28" spans="1:14" x14ac:dyDescent="0.25">
      <c r="B28" s="44"/>
      <c r="C28" s="45" t="s">
        <v>754</v>
      </c>
      <c r="D28" s="23">
        <v>291.48</v>
      </c>
    </row>
    <row r="29" spans="1:14" x14ac:dyDescent="0.25">
      <c r="B29" s="46"/>
      <c r="C29" s="10"/>
      <c r="D29" s="23"/>
    </row>
    <row r="30" spans="1:14" x14ac:dyDescent="0.25">
      <c r="B30" s="46"/>
      <c r="C30" s="10"/>
      <c r="D30" s="23"/>
    </row>
    <row r="31" spans="1:14" x14ac:dyDescent="0.25">
      <c r="B31" s="46"/>
      <c r="C31" s="10"/>
      <c r="D31" s="23"/>
    </row>
    <row r="32" spans="1:14" x14ac:dyDescent="0.25">
      <c r="B32" s="68"/>
      <c r="C32" s="10"/>
      <c r="D32" s="23"/>
    </row>
    <row r="33" spans="2:4" x14ac:dyDescent="0.25">
      <c r="B33" s="68"/>
      <c r="C33" s="10"/>
      <c r="D33" s="23"/>
    </row>
    <row r="34" spans="2:4" x14ac:dyDescent="0.25">
      <c r="B34" s="44"/>
      <c r="C34" s="10" t="s">
        <v>703</v>
      </c>
      <c r="D34" s="48">
        <f>SUM(D28:D33)</f>
        <v>291.48</v>
      </c>
    </row>
    <row r="37" spans="2:4" ht="15.75" x14ac:dyDescent="0.25">
      <c r="B37" s="16"/>
      <c r="C37" s="19" t="s">
        <v>702</v>
      </c>
      <c r="D37" s="42">
        <v>621.92999999999995</v>
      </c>
    </row>
    <row r="38" spans="2:4" ht="15.75" x14ac:dyDescent="0.25">
      <c r="B38" s="46"/>
      <c r="C38" s="7"/>
      <c r="D38" s="42"/>
    </row>
    <row r="39" spans="2:4" ht="15.75" x14ac:dyDescent="0.25">
      <c r="B39" s="16"/>
      <c r="C39" s="17"/>
      <c r="D39" s="42"/>
    </row>
    <row r="40" spans="2:4" ht="15.75" x14ac:dyDescent="0.25">
      <c r="B40" s="16"/>
      <c r="C40" s="17"/>
      <c r="D40" s="42"/>
    </row>
    <row r="41" spans="2:4" ht="15.75" x14ac:dyDescent="0.25">
      <c r="B41" s="16"/>
      <c r="C41" s="17" t="s">
        <v>703</v>
      </c>
      <c r="D41" s="43">
        <f>SUM(D37:D40)</f>
        <v>621.92999999999995</v>
      </c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A22" sqref="A22:C22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755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Geral!D15</f>
        <v>8634.9166499999992</v>
      </c>
      <c r="F6" s="211" t="s">
        <v>687</v>
      </c>
      <c r="G6" s="212"/>
      <c r="H6" s="14" t="s">
        <v>582</v>
      </c>
      <c r="I6" s="24">
        <f>Geral!E15</f>
        <v>0</v>
      </c>
      <c r="K6" s="230" t="s">
        <v>688</v>
      </c>
      <c r="L6" s="230"/>
      <c r="M6" s="4" t="s">
        <v>582</v>
      </c>
      <c r="N6" s="24">
        <f>Geral!F15</f>
        <v>0</v>
      </c>
    </row>
    <row r="7" spans="1:14" ht="15" customHeight="1" x14ac:dyDescent="0.25">
      <c r="A7" s="230"/>
      <c r="B7" s="230"/>
      <c r="C7" s="3" t="s">
        <v>583</v>
      </c>
      <c r="D7" s="24">
        <f>SUM(D10:D26)</f>
        <v>8634.92</v>
      </c>
      <c r="F7" s="213"/>
      <c r="G7" s="214"/>
      <c r="H7" s="14" t="s">
        <v>583</v>
      </c>
      <c r="I7" s="24">
        <f>SUM(I10:I26)</f>
        <v>0</v>
      </c>
      <c r="K7" s="230"/>
      <c r="L7" s="230"/>
      <c r="M7" s="4" t="s">
        <v>583</v>
      </c>
      <c r="N7" s="24">
        <f>SUM(N10:N26)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-3.3500000008643838E-3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43685</v>
      </c>
      <c r="B10" s="6"/>
      <c r="C10" s="7" t="s">
        <v>692</v>
      </c>
      <c r="D10" s="24">
        <v>-2733.09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43710</v>
      </c>
      <c r="B11" s="95">
        <v>11345</v>
      </c>
      <c r="C11" s="7" t="s">
        <v>705</v>
      </c>
      <c r="D11" s="24">
        <v>228.13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43713</v>
      </c>
      <c r="B12" s="95">
        <v>11571</v>
      </c>
      <c r="C12" s="7" t="s">
        <v>705</v>
      </c>
      <c r="D12" s="24">
        <v>203.39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43713</v>
      </c>
      <c r="B13" s="95">
        <v>11574</v>
      </c>
      <c r="C13" s="7" t="s">
        <v>705</v>
      </c>
      <c r="D13" s="24">
        <v>121.3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43714</v>
      </c>
      <c r="B14" s="6"/>
      <c r="C14" s="7" t="s">
        <v>756</v>
      </c>
      <c r="D14" s="24">
        <v>3600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43714</v>
      </c>
      <c r="B15" s="95">
        <v>11621</v>
      </c>
      <c r="C15" s="7" t="s">
        <v>705</v>
      </c>
      <c r="D15" s="24">
        <v>27.44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43726</v>
      </c>
      <c r="B16" s="95"/>
      <c r="C16" s="7" t="s">
        <v>710</v>
      </c>
      <c r="D16" s="23">
        <v>587.75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43732</v>
      </c>
      <c r="B17" s="6"/>
      <c r="C17" s="7" t="s">
        <v>711</v>
      </c>
      <c r="D17" s="24">
        <v>1250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>
        <v>43734</v>
      </c>
      <c r="B18" s="6"/>
      <c r="C18" s="7" t="s">
        <v>757</v>
      </c>
      <c r="D18" s="24">
        <v>2950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11">
        <v>43742</v>
      </c>
      <c r="B19" s="6"/>
      <c r="C19" s="7" t="s">
        <v>758</v>
      </c>
      <c r="D19" s="24">
        <v>500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11">
        <v>43754</v>
      </c>
      <c r="B20" s="6"/>
      <c r="C20" s="7" t="s">
        <v>759</v>
      </c>
      <c r="D20" s="24">
        <v>1050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43755</v>
      </c>
      <c r="B21" s="6"/>
      <c r="C21" s="7" t="s">
        <v>711</v>
      </c>
      <c r="D21" s="24">
        <v>500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43759</v>
      </c>
      <c r="B22" s="6"/>
      <c r="C22" s="7" t="s">
        <v>701</v>
      </c>
      <c r="D22" s="24">
        <v>350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D27" s="1"/>
    </row>
    <row r="28" spans="1:14" x14ac:dyDescent="0.25">
      <c r="B28" s="44"/>
      <c r="C28" s="45" t="s">
        <v>715</v>
      </c>
      <c r="D28" s="23">
        <v>879</v>
      </c>
    </row>
    <row r="29" spans="1:14" x14ac:dyDescent="0.25">
      <c r="B29" s="5">
        <v>43734</v>
      </c>
      <c r="C29" s="10" t="s">
        <v>760</v>
      </c>
      <c r="D29" s="23">
        <f>-(45+250)</f>
        <v>-295</v>
      </c>
    </row>
    <row r="30" spans="1:14" x14ac:dyDescent="0.25">
      <c r="B30" s="5">
        <v>43742</v>
      </c>
      <c r="C30" s="7" t="s">
        <v>698</v>
      </c>
      <c r="D30" s="23">
        <v>-120</v>
      </c>
    </row>
    <row r="31" spans="1:14" x14ac:dyDescent="0.25">
      <c r="B31" s="11">
        <v>43742</v>
      </c>
      <c r="C31" s="7" t="s">
        <v>758</v>
      </c>
      <c r="D31" s="23">
        <f>D19</f>
        <v>500</v>
      </c>
    </row>
    <row r="32" spans="1:14" x14ac:dyDescent="0.25">
      <c r="B32" s="47"/>
      <c r="C32" s="10"/>
      <c r="D32" s="23"/>
    </row>
    <row r="33" spans="1:4" x14ac:dyDescent="0.25">
      <c r="B33" s="47"/>
      <c r="C33" s="10"/>
      <c r="D33" s="23"/>
    </row>
    <row r="34" spans="1:4" x14ac:dyDescent="0.25">
      <c r="B34" s="44"/>
      <c r="C34" s="10" t="s">
        <v>703</v>
      </c>
      <c r="D34" s="48">
        <f>SUM(D28:D33)</f>
        <v>964</v>
      </c>
    </row>
    <row r="36" spans="1:4" x14ac:dyDescent="0.25">
      <c r="A36" s="232" t="s">
        <v>718</v>
      </c>
      <c r="B36" s="232"/>
      <c r="C36" s="232"/>
      <c r="D36" s="148">
        <f>D16</f>
        <v>587.75</v>
      </c>
    </row>
    <row r="37" spans="1:4" x14ac:dyDescent="0.25">
      <c r="A37" s="5">
        <v>43746</v>
      </c>
      <c r="B37" s="95">
        <v>13065</v>
      </c>
      <c r="C37" s="7" t="s">
        <v>705</v>
      </c>
      <c r="D37" s="23">
        <v>60.88</v>
      </c>
    </row>
    <row r="38" spans="1:4" x14ac:dyDescent="0.25">
      <c r="A38" s="5"/>
      <c r="B38" s="95"/>
      <c r="C38" s="7"/>
      <c r="D38" s="23"/>
    </row>
    <row r="39" spans="1:4" x14ac:dyDescent="0.25">
      <c r="A39" s="10"/>
      <c r="B39" s="147"/>
      <c r="C39" s="10"/>
      <c r="D39" s="23"/>
    </row>
    <row r="40" spans="1:4" x14ac:dyDescent="0.25">
      <c r="A40" s="10"/>
      <c r="B40" s="147"/>
      <c r="C40" s="10"/>
      <c r="D40" s="23"/>
    </row>
    <row r="41" spans="1:4" x14ac:dyDescent="0.25">
      <c r="A41" s="10"/>
      <c r="B41" s="147"/>
      <c r="C41" s="10"/>
      <c r="D41" s="23"/>
    </row>
    <row r="42" spans="1:4" x14ac:dyDescent="0.25">
      <c r="A42" s="10"/>
      <c r="B42" s="147"/>
      <c r="C42" s="10"/>
      <c r="D42" s="23"/>
    </row>
    <row r="43" spans="1:4" x14ac:dyDescent="0.25">
      <c r="A43" s="10"/>
      <c r="B43" s="147"/>
      <c r="C43" s="10"/>
      <c r="D43" s="23"/>
    </row>
    <row r="44" spans="1:4" x14ac:dyDescent="0.25">
      <c r="A44" s="10"/>
      <c r="B44" s="147"/>
      <c r="C44" s="10"/>
      <c r="D44" s="23"/>
    </row>
    <row r="45" spans="1:4" x14ac:dyDescent="0.25">
      <c r="A45" s="10"/>
      <c r="B45" s="147"/>
      <c r="C45" s="10"/>
      <c r="D45" s="23"/>
    </row>
    <row r="46" spans="1:4" x14ac:dyDescent="0.25">
      <c r="A46" s="151"/>
      <c r="B46" s="152"/>
      <c r="C46" s="151"/>
      <c r="D46" s="23"/>
    </row>
    <row r="47" spans="1:4" x14ac:dyDescent="0.25">
      <c r="A47" s="232" t="s">
        <v>703</v>
      </c>
      <c r="B47" s="232"/>
      <c r="C47" s="232"/>
      <c r="D47" s="148">
        <f>D36-SUM(D37:D46)</f>
        <v>526.87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36:C36"/>
    <mergeCell ref="A47:C47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A21" sqref="A21:C21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761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Geral!D16</f>
        <v>8634.9166499999992</v>
      </c>
      <c r="F6" s="211" t="s">
        <v>687</v>
      </c>
      <c r="G6" s="212"/>
      <c r="H6" s="14" t="s">
        <v>582</v>
      </c>
      <c r="I6" s="24">
        <f>Geral!E16</f>
        <v>0</v>
      </c>
      <c r="K6" s="230" t="s">
        <v>688</v>
      </c>
      <c r="L6" s="230"/>
      <c r="M6" s="4" t="s">
        <v>582</v>
      </c>
      <c r="N6" s="24">
        <f>Geral!F16</f>
        <v>0</v>
      </c>
    </row>
    <row r="7" spans="1:14" ht="15" customHeight="1" x14ac:dyDescent="0.25">
      <c r="A7" s="230"/>
      <c r="B7" s="230"/>
      <c r="C7" s="3" t="s">
        <v>583</v>
      </c>
      <c r="D7" s="24">
        <f>SUM(D10:D30)</f>
        <v>8634.92</v>
      </c>
      <c r="F7" s="213"/>
      <c r="G7" s="214"/>
      <c r="H7" s="14" t="s">
        <v>583</v>
      </c>
      <c r="I7" s="24">
        <f>SUM(I10:I30)</f>
        <v>0</v>
      </c>
      <c r="K7" s="230"/>
      <c r="L7" s="230"/>
      <c r="M7" s="4" t="s">
        <v>583</v>
      </c>
      <c r="N7" s="24">
        <f>SUM(N10:N30)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-3.3500000008643838E-3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43525</v>
      </c>
      <c r="B10" s="6" t="s">
        <v>762</v>
      </c>
      <c r="C10" s="76" t="s">
        <v>192</v>
      </c>
      <c r="D10" s="24">
        <v>60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43581</v>
      </c>
      <c r="B11" s="6" t="s">
        <v>763</v>
      </c>
      <c r="C11" s="76" t="s">
        <v>243</v>
      </c>
      <c r="D11" s="79">
        <v>60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43685</v>
      </c>
      <c r="B12" s="6"/>
      <c r="C12" s="7" t="s">
        <v>692</v>
      </c>
      <c r="D12" s="24">
        <v>-1283.1099999999999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43691</v>
      </c>
      <c r="B13" s="6"/>
      <c r="C13" s="7" t="s">
        <v>764</v>
      </c>
      <c r="D13" s="24">
        <v>7.7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43720</v>
      </c>
      <c r="B14" s="6"/>
      <c r="C14" s="7" t="s">
        <v>765</v>
      </c>
      <c r="D14" s="24">
        <f>20.5+18.25</f>
        <v>38.75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43725</v>
      </c>
      <c r="B15" s="95">
        <v>12111</v>
      </c>
      <c r="C15" s="7" t="s">
        <v>705</v>
      </c>
      <c r="D15" s="24">
        <v>70.2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43726</v>
      </c>
      <c r="B16" s="95"/>
      <c r="C16" s="7" t="s">
        <v>710</v>
      </c>
      <c r="D16" s="23">
        <v>200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43732</v>
      </c>
      <c r="B17" s="6"/>
      <c r="C17" s="7" t="s">
        <v>711</v>
      </c>
      <c r="D17" s="24">
        <v>750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>
        <v>43734</v>
      </c>
      <c r="B18" s="6"/>
      <c r="C18" s="7" t="s">
        <v>766</v>
      </c>
      <c r="D18" s="24">
        <v>4550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43742</v>
      </c>
      <c r="B19" s="6"/>
      <c r="C19" s="7" t="s">
        <v>767</v>
      </c>
      <c r="D19" s="24">
        <v>1000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43755</v>
      </c>
      <c r="B20" s="6"/>
      <c r="C20" s="7" t="s">
        <v>711</v>
      </c>
      <c r="D20" s="24">
        <v>250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43759</v>
      </c>
      <c r="B21" s="6"/>
      <c r="C21" s="7" t="s">
        <v>701</v>
      </c>
      <c r="D21" s="24">
        <v>2931.38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D31" s="1"/>
    </row>
    <row r="32" spans="1:14" x14ac:dyDescent="0.25">
      <c r="B32" s="44"/>
      <c r="C32" s="45" t="s">
        <v>715</v>
      </c>
      <c r="D32" s="23">
        <v>262.55</v>
      </c>
    </row>
    <row r="33" spans="1:4" x14ac:dyDescent="0.25">
      <c r="B33" s="94">
        <v>2108</v>
      </c>
      <c r="C33" s="7" t="s">
        <v>768</v>
      </c>
      <c r="D33" s="23">
        <v>-29</v>
      </c>
    </row>
    <row r="34" spans="1:4" x14ac:dyDescent="0.25">
      <c r="B34" s="94">
        <v>410</v>
      </c>
      <c r="C34" s="7" t="s">
        <v>698</v>
      </c>
      <c r="D34" s="23">
        <v>-500</v>
      </c>
    </row>
    <row r="35" spans="1:4" x14ac:dyDescent="0.25">
      <c r="B35" s="94">
        <v>410</v>
      </c>
      <c r="C35" s="7" t="s">
        <v>767</v>
      </c>
      <c r="D35" s="24">
        <v>1000</v>
      </c>
    </row>
    <row r="36" spans="1:4" x14ac:dyDescent="0.25">
      <c r="B36" s="47"/>
      <c r="C36" s="10"/>
      <c r="D36" s="23"/>
    </row>
    <row r="37" spans="1:4" x14ac:dyDescent="0.25">
      <c r="B37" s="47"/>
      <c r="C37" s="10"/>
      <c r="D37" s="23"/>
    </row>
    <row r="38" spans="1:4" x14ac:dyDescent="0.25">
      <c r="B38" s="44"/>
      <c r="C38" s="10" t="s">
        <v>703</v>
      </c>
      <c r="D38" s="48">
        <f>SUM(D32:D37)</f>
        <v>733.55</v>
      </c>
    </row>
    <row r="39" spans="1:4" x14ac:dyDescent="0.25">
      <c r="D39" s="1"/>
    </row>
    <row r="40" spans="1:4" ht="15.75" x14ac:dyDescent="0.25">
      <c r="B40" s="16"/>
      <c r="C40" s="19" t="s">
        <v>702</v>
      </c>
      <c r="D40" s="42">
        <v>375</v>
      </c>
    </row>
    <row r="41" spans="1:4" ht="15.75" x14ac:dyDescent="0.25">
      <c r="B41" s="46"/>
      <c r="C41" s="7"/>
      <c r="D41" s="42"/>
    </row>
    <row r="42" spans="1:4" ht="15.75" x14ac:dyDescent="0.25">
      <c r="B42" s="16"/>
      <c r="C42" s="17"/>
      <c r="D42" s="42"/>
    </row>
    <row r="43" spans="1:4" ht="15.75" x14ac:dyDescent="0.25">
      <c r="B43" s="16"/>
      <c r="C43" s="17"/>
      <c r="D43" s="42"/>
    </row>
    <row r="44" spans="1:4" ht="15.75" x14ac:dyDescent="0.25">
      <c r="B44" s="16"/>
      <c r="C44" s="17" t="s">
        <v>703</v>
      </c>
      <c r="D44" s="43">
        <f>SUM(D40:D43)</f>
        <v>375</v>
      </c>
    </row>
    <row r="46" spans="1:4" x14ac:dyDescent="0.25">
      <c r="A46" s="232" t="s">
        <v>718</v>
      </c>
      <c r="B46" s="232"/>
      <c r="C46" s="232"/>
      <c r="D46" s="148">
        <f>D16</f>
        <v>200</v>
      </c>
    </row>
    <row r="47" spans="1:4" x14ac:dyDescent="0.25">
      <c r="A47" s="5">
        <v>43735</v>
      </c>
      <c r="B47" s="95">
        <v>12629</v>
      </c>
      <c r="C47" s="7" t="s">
        <v>705</v>
      </c>
      <c r="D47" s="23">
        <v>18.64</v>
      </c>
    </row>
    <row r="48" spans="1:4" x14ac:dyDescent="0.25">
      <c r="A48" s="5">
        <v>43745</v>
      </c>
      <c r="B48" s="95">
        <v>12965</v>
      </c>
      <c r="C48" s="7" t="s">
        <v>705</v>
      </c>
      <c r="D48" s="23">
        <v>19.98</v>
      </c>
    </row>
    <row r="49" spans="1:4" x14ac:dyDescent="0.25">
      <c r="A49" s="10"/>
      <c r="B49" s="147"/>
      <c r="C49" s="10"/>
      <c r="D49" s="23"/>
    </row>
    <row r="50" spans="1:4" x14ac:dyDescent="0.25">
      <c r="A50" s="10"/>
      <c r="B50" s="147"/>
      <c r="C50" s="10"/>
      <c r="D50" s="23"/>
    </row>
    <row r="51" spans="1:4" x14ac:dyDescent="0.25">
      <c r="A51" s="10"/>
      <c r="B51" s="147"/>
      <c r="C51" s="10"/>
      <c r="D51" s="23"/>
    </row>
    <row r="52" spans="1:4" x14ac:dyDescent="0.25">
      <c r="A52" s="10"/>
      <c r="B52" s="147"/>
      <c r="C52" s="10"/>
      <c r="D52" s="23"/>
    </row>
    <row r="53" spans="1:4" x14ac:dyDescent="0.25">
      <c r="A53" s="10"/>
      <c r="B53" s="147"/>
      <c r="C53" s="10"/>
      <c r="D53" s="23"/>
    </row>
    <row r="54" spans="1:4" x14ac:dyDescent="0.25">
      <c r="A54" s="10"/>
      <c r="B54" s="147"/>
      <c r="C54" s="10"/>
      <c r="D54" s="23"/>
    </row>
    <row r="55" spans="1:4" x14ac:dyDescent="0.25">
      <c r="A55" s="10"/>
      <c r="B55" s="147"/>
      <c r="C55" s="10"/>
      <c r="D55" s="23"/>
    </row>
    <row r="56" spans="1:4" x14ac:dyDescent="0.25">
      <c r="A56" s="151"/>
      <c r="B56" s="152"/>
      <c r="C56" s="151"/>
      <c r="D56" s="23"/>
    </row>
    <row r="57" spans="1:4" x14ac:dyDescent="0.25">
      <c r="A57" s="232" t="s">
        <v>703</v>
      </c>
      <c r="B57" s="232"/>
      <c r="C57" s="232"/>
      <c r="D57" s="148">
        <f>D46-SUM(D47:D56)</f>
        <v>161.38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46:C46"/>
    <mergeCell ref="A57:C57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A22" sqref="A22:C22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2.140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769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Geral!D17</f>
        <v>8634.9166499999992</v>
      </c>
      <c r="F6" s="211" t="s">
        <v>687</v>
      </c>
      <c r="G6" s="212"/>
      <c r="H6" s="14" t="s">
        <v>582</v>
      </c>
      <c r="I6" s="24">
        <f>Geral!E17</f>
        <v>0</v>
      </c>
      <c r="K6" s="230" t="s">
        <v>688</v>
      </c>
      <c r="L6" s="230"/>
      <c r="M6" s="4" t="s">
        <v>582</v>
      </c>
      <c r="N6" s="24">
        <f>Geral!F17</f>
        <v>1958</v>
      </c>
    </row>
    <row r="7" spans="1:14" ht="15" customHeight="1" x14ac:dyDescent="0.25">
      <c r="A7" s="230"/>
      <c r="B7" s="230"/>
      <c r="C7" s="3" t="s">
        <v>583</v>
      </c>
      <c r="D7" s="24">
        <f>SUM(D10:D32)</f>
        <v>8634.92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1958</v>
      </c>
    </row>
    <row r="8" spans="1:14" ht="15" customHeight="1" x14ac:dyDescent="0.25">
      <c r="A8" s="230"/>
      <c r="B8" s="230"/>
      <c r="C8" s="3" t="s">
        <v>584</v>
      </c>
      <c r="D8" s="24">
        <f>D6-D7</f>
        <v>-3.3500000008643838E-3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43627</v>
      </c>
      <c r="B10" s="15"/>
      <c r="C10" s="7" t="s">
        <v>692</v>
      </c>
      <c r="D10" s="24">
        <v>-1292.47</v>
      </c>
      <c r="F10" s="5"/>
      <c r="G10" s="6"/>
      <c r="H10" s="7"/>
      <c r="I10" s="24"/>
      <c r="K10" s="8">
        <v>43622</v>
      </c>
      <c r="L10" s="6"/>
      <c r="M10" s="7" t="s">
        <v>770</v>
      </c>
      <c r="N10" s="24">
        <v>979</v>
      </c>
    </row>
    <row r="11" spans="1:14" x14ac:dyDescent="0.25">
      <c r="A11" s="5">
        <v>43726</v>
      </c>
      <c r="B11" s="95"/>
      <c r="C11" s="7" t="s">
        <v>710</v>
      </c>
      <c r="D11" s="23">
        <v>600</v>
      </c>
      <c r="F11" s="5"/>
      <c r="G11" s="6"/>
      <c r="H11" s="7"/>
      <c r="I11" s="24"/>
      <c r="K11" s="8">
        <v>43623</v>
      </c>
      <c r="L11" s="6" t="s">
        <v>771</v>
      </c>
      <c r="M11" s="76" t="s">
        <v>394</v>
      </c>
      <c r="N11" s="79">
        <v>979</v>
      </c>
    </row>
    <row r="12" spans="1:14" x14ac:dyDescent="0.25">
      <c r="A12" s="94">
        <v>2609</v>
      </c>
      <c r="B12" s="95">
        <v>12140</v>
      </c>
      <c r="C12" s="76" t="s">
        <v>62</v>
      </c>
      <c r="D12" s="79">
        <v>78.269999999999982</v>
      </c>
      <c r="F12" s="68"/>
      <c r="G12" s="71"/>
      <c r="H12" s="10"/>
      <c r="I12" s="23"/>
      <c r="K12" s="8"/>
      <c r="L12" s="6"/>
      <c r="M12" s="7"/>
      <c r="N12" s="24"/>
    </row>
    <row r="13" spans="1:14" x14ac:dyDescent="0.25">
      <c r="A13" s="94">
        <v>2609</v>
      </c>
      <c r="B13" s="95">
        <v>12141</v>
      </c>
      <c r="C13" s="76" t="s">
        <v>62</v>
      </c>
      <c r="D13" s="79">
        <v>200</v>
      </c>
      <c r="F13" s="46"/>
      <c r="G13" s="78"/>
      <c r="H13" s="76"/>
      <c r="I13" s="79"/>
      <c r="K13" s="8"/>
      <c r="L13" s="6"/>
      <c r="M13" s="7"/>
      <c r="N13" s="24"/>
    </row>
    <row r="14" spans="1:14" x14ac:dyDescent="0.25">
      <c r="A14" s="94">
        <v>2609</v>
      </c>
      <c r="B14" s="95">
        <v>12142</v>
      </c>
      <c r="C14" s="76" t="s">
        <v>62</v>
      </c>
      <c r="D14" s="79">
        <v>492.42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94">
        <v>2609</v>
      </c>
      <c r="B15" s="95">
        <v>12144</v>
      </c>
      <c r="C15" s="76" t="s">
        <v>62</v>
      </c>
      <c r="D15" s="79">
        <v>527.82000000000005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94">
        <v>2609</v>
      </c>
      <c r="B16" s="95">
        <v>12145</v>
      </c>
      <c r="C16" s="76" t="s">
        <v>526</v>
      </c>
      <c r="D16" s="79">
        <v>18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94">
        <v>2609</v>
      </c>
      <c r="B17" s="95">
        <v>12146</v>
      </c>
      <c r="C17" s="76" t="s">
        <v>526</v>
      </c>
      <c r="D17" s="79">
        <v>284.48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>
        <v>43742</v>
      </c>
      <c r="B18" s="6"/>
      <c r="C18" s="7" t="s">
        <v>767</v>
      </c>
      <c r="D18" s="24">
        <v>600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11">
        <v>43742</v>
      </c>
      <c r="B19" s="6"/>
      <c r="C19" s="7" t="s">
        <v>699</v>
      </c>
      <c r="D19" s="24">
        <v>2900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11">
        <v>43754</v>
      </c>
      <c r="B20" s="6"/>
      <c r="C20" s="7" t="s">
        <v>772</v>
      </c>
      <c r="D20" s="24">
        <v>1800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43755</v>
      </c>
      <c r="B21" s="6"/>
      <c r="C21" s="7" t="s">
        <v>711</v>
      </c>
      <c r="D21" s="24">
        <v>800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43759</v>
      </c>
      <c r="B22" s="6"/>
      <c r="C22" s="7" t="s">
        <v>701</v>
      </c>
      <c r="D22" s="24">
        <v>1626.4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82"/>
      <c r="B25" s="71"/>
      <c r="C25" s="7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46"/>
      <c r="B26" s="78"/>
      <c r="C26" s="76"/>
      <c r="D26" s="79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2:4" x14ac:dyDescent="0.25">
      <c r="D33" s="1"/>
    </row>
    <row r="34" spans="2:4" x14ac:dyDescent="0.25">
      <c r="B34" s="44"/>
      <c r="C34" s="45" t="s">
        <v>715</v>
      </c>
      <c r="D34" s="23">
        <v>181.02</v>
      </c>
    </row>
    <row r="35" spans="2:4" x14ac:dyDescent="0.25">
      <c r="B35" s="94">
        <v>410</v>
      </c>
      <c r="C35" s="7" t="s">
        <v>698</v>
      </c>
      <c r="D35" s="23">
        <v>-140</v>
      </c>
    </row>
    <row r="36" spans="2:4" x14ac:dyDescent="0.25">
      <c r="B36" s="11">
        <v>43742</v>
      </c>
      <c r="C36" s="7" t="s">
        <v>767</v>
      </c>
      <c r="D36" s="23">
        <v>600</v>
      </c>
    </row>
    <row r="37" spans="2:4" x14ac:dyDescent="0.25">
      <c r="B37" s="68"/>
      <c r="C37" s="10"/>
      <c r="D37" s="23"/>
    </row>
    <row r="38" spans="2:4" x14ac:dyDescent="0.25">
      <c r="B38" s="68"/>
      <c r="C38" s="7"/>
      <c r="D38" s="24"/>
    </row>
    <row r="39" spans="2:4" x14ac:dyDescent="0.25">
      <c r="B39" s="68"/>
      <c r="C39" s="10"/>
      <c r="D39" s="23"/>
    </row>
    <row r="40" spans="2:4" x14ac:dyDescent="0.25">
      <c r="B40" s="44"/>
      <c r="C40" s="10" t="s">
        <v>703</v>
      </c>
      <c r="D40" s="48">
        <f>SUM(D34:D39)</f>
        <v>641.02</v>
      </c>
    </row>
    <row r="43" spans="2:4" ht="15.75" x14ac:dyDescent="0.25">
      <c r="B43" s="16"/>
      <c r="C43" s="19" t="s">
        <v>702</v>
      </c>
      <c r="D43" s="42">
        <v>1628.99</v>
      </c>
    </row>
    <row r="44" spans="2:4" x14ac:dyDescent="0.25">
      <c r="B44" s="11">
        <v>43742</v>
      </c>
      <c r="C44" s="7" t="s">
        <v>699</v>
      </c>
      <c r="D44" s="24">
        <v>2900</v>
      </c>
    </row>
    <row r="45" spans="2:4" ht="15.75" x14ac:dyDescent="0.25">
      <c r="B45" s="46"/>
      <c r="C45" s="17"/>
      <c r="D45" s="42"/>
    </row>
    <row r="46" spans="2:4" ht="15.75" x14ac:dyDescent="0.25">
      <c r="B46" s="16"/>
      <c r="C46" s="17"/>
      <c r="D46" s="42"/>
    </row>
    <row r="47" spans="2:4" ht="15.75" x14ac:dyDescent="0.25">
      <c r="B47" s="16"/>
      <c r="C47" s="17" t="s">
        <v>703</v>
      </c>
      <c r="D47" s="43">
        <f>SUM(D43:D46)</f>
        <v>4528.99</v>
      </c>
    </row>
    <row r="49" spans="1:4" x14ac:dyDescent="0.25">
      <c r="A49" s="232" t="s">
        <v>718</v>
      </c>
      <c r="B49" s="232"/>
      <c r="C49" s="232"/>
      <c r="D49" s="148">
        <f>D11</f>
        <v>600</v>
      </c>
    </row>
    <row r="50" spans="1:4" x14ac:dyDescent="0.25">
      <c r="A50" s="149"/>
      <c r="B50" s="150"/>
      <c r="C50" s="149"/>
      <c r="D50" s="23"/>
    </row>
    <row r="51" spans="1:4" x14ac:dyDescent="0.25">
      <c r="A51" s="10"/>
      <c r="B51" s="147"/>
      <c r="C51" s="10"/>
      <c r="D51" s="23"/>
    </row>
    <row r="52" spans="1:4" x14ac:dyDescent="0.25">
      <c r="A52" s="10"/>
      <c r="B52" s="147"/>
      <c r="C52" s="10"/>
      <c r="D52" s="23"/>
    </row>
    <row r="53" spans="1:4" x14ac:dyDescent="0.25">
      <c r="A53" s="10"/>
      <c r="B53" s="147"/>
      <c r="C53" s="10"/>
      <c r="D53" s="23"/>
    </row>
    <row r="54" spans="1:4" x14ac:dyDescent="0.25">
      <c r="A54" s="10"/>
      <c r="B54" s="147"/>
      <c r="C54" s="10"/>
      <c r="D54" s="23"/>
    </row>
    <row r="55" spans="1:4" x14ac:dyDescent="0.25">
      <c r="A55" s="10"/>
      <c r="B55" s="147"/>
      <c r="C55" s="10"/>
      <c r="D55" s="23"/>
    </row>
    <row r="56" spans="1:4" x14ac:dyDescent="0.25">
      <c r="A56" s="10"/>
      <c r="B56" s="147"/>
      <c r="C56" s="10"/>
      <c r="D56" s="23"/>
    </row>
    <row r="57" spans="1:4" x14ac:dyDescent="0.25">
      <c r="A57" s="10"/>
      <c r="B57" s="147"/>
      <c r="C57" s="10"/>
      <c r="D57" s="23"/>
    </row>
    <row r="58" spans="1:4" x14ac:dyDescent="0.25">
      <c r="A58" s="10"/>
      <c r="B58" s="147"/>
      <c r="C58" s="10"/>
      <c r="D58" s="23"/>
    </row>
    <row r="59" spans="1:4" x14ac:dyDescent="0.25">
      <c r="A59" s="151"/>
      <c r="B59" s="152"/>
      <c r="C59" s="151"/>
      <c r="D59" s="23"/>
    </row>
    <row r="60" spans="1:4" x14ac:dyDescent="0.25">
      <c r="A60" s="232" t="s">
        <v>703</v>
      </c>
      <c r="B60" s="232"/>
      <c r="C60" s="232"/>
      <c r="D60" s="148">
        <f>D49-SUM(D50:D59)</f>
        <v>600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49:C49"/>
    <mergeCell ref="A60:C60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773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Geral!D19</f>
        <v>5756.6111000000001</v>
      </c>
      <c r="F6" s="211" t="s">
        <v>687</v>
      </c>
      <c r="G6" s="212"/>
      <c r="H6" s="14" t="s">
        <v>582</v>
      </c>
      <c r="I6" s="24">
        <f>Geral!E19</f>
        <v>0</v>
      </c>
      <c r="K6" s="230" t="s">
        <v>688</v>
      </c>
      <c r="L6" s="230"/>
      <c r="M6" s="4" t="s">
        <v>582</v>
      </c>
      <c r="N6" s="24">
        <f>Geral!F19</f>
        <v>0</v>
      </c>
    </row>
    <row r="7" spans="1:14" ht="15" customHeight="1" x14ac:dyDescent="0.25">
      <c r="A7" s="230"/>
      <c r="B7" s="230"/>
      <c r="C7" s="3" t="s">
        <v>583</v>
      </c>
      <c r="D7" s="24">
        <f>SUM(D10:D33)</f>
        <v>5756.61</v>
      </c>
      <c r="F7" s="213"/>
      <c r="G7" s="214"/>
      <c r="H7" s="14" t="s">
        <v>583</v>
      </c>
      <c r="I7" s="24">
        <f>SUM(I10:I33)</f>
        <v>0</v>
      </c>
      <c r="K7" s="230"/>
      <c r="L7" s="230"/>
      <c r="M7" s="4" t="s">
        <v>583</v>
      </c>
      <c r="N7" s="24">
        <f>SUM(N10:N33)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1.1000000004059984E-3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6"/>
      <c r="C10" s="7" t="s">
        <v>724</v>
      </c>
      <c r="D10" s="24">
        <v>300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94">
        <v>1504</v>
      </c>
      <c r="B11" s="95">
        <v>3782</v>
      </c>
      <c r="C11" s="76" t="s">
        <v>301</v>
      </c>
      <c r="D11" s="79">
        <v>100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94">
        <v>1504</v>
      </c>
      <c r="B12" s="95">
        <v>3785</v>
      </c>
      <c r="C12" s="76" t="s">
        <v>303</v>
      </c>
      <c r="D12" s="79">
        <v>80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94">
        <v>1504</v>
      </c>
      <c r="B13" s="95">
        <v>3788</v>
      </c>
      <c r="C13" s="76" t="s">
        <v>305</v>
      </c>
      <c r="D13" s="79">
        <v>150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43609</v>
      </c>
      <c r="B14" s="6"/>
      <c r="C14" s="7" t="s">
        <v>729</v>
      </c>
      <c r="D14" s="24">
        <v>400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43613</v>
      </c>
      <c r="B15" s="6"/>
      <c r="C15" s="7" t="s">
        <v>692</v>
      </c>
      <c r="D15" s="24">
        <v>-1254.79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43640</v>
      </c>
      <c r="B16" s="6"/>
      <c r="C16" s="7" t="s">
        <v>706</v>
      </c>
      <c r="D16" s="24">
        <v>400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43650</v>
      </c>
      <c r="B17" s="95">
        <v>7168</v>
      </c>
      <c r="C17" s="76" t="s">
        <v>433</v>
      </c>
      <c r="D17" s="79">
        <v>100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43662</v>
      </c>
      <c r="B18" s="6"/>
      <c r="C18" s="7" t="s">
        <v>708</v>
      </c>
      <c r="D18" s="24">
        <v>400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43664</v>
      </c>
      <c r="B19" s="71"/>
      <c r="C19" s="10" t="s">
        <v>774</v>
      </c>
      <c r="D19" s="23">
        <v>18.16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43684</v>
      </c>
      <c r="B20" s="6" t="s">
        <v>775</v>
      </c>
      <c r="C20" s="7" t="s">
        <v>776</v>
      </c>
      <c r="D20" s="23">
        <v>275.52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43691</v>
      </c>
      <c r="B21" s="71"/>
      <c r="C21" s="10" t="s">
        <v>777</v>
      </c>
      <c r="D21" s="23">
        <v>18.16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43699</v>
      </c>
      <c r="B22" s="6"/>
      <c r="C22" s="7" t="s">
        <v>733</v>
      </c>
      <c r="D22" s="24">
        <v>400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43700</v>
      </c>
      <c r="B23" s="6" t="s">
        <v>778</v>
      </c>
      <c r="C23" s="7" t="s">
        <v>776</v>
      </c>
      <c r="D23" s="24">
        <v>160.16999999999996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43705</v>
      </c>
      <c r="B24" s="6" t="s">
        <v>779</v>
      </c>
      <c r="C24" s="76" t="s">
        <v>780</v>
      </c>
      <c r="D24" s="79">
        <f>1953/2</f>
        <v>976.5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94">
        <v>309</v>
      </c>
      <c r="B25" s="145">
        <v>10695</v>
      </c>
      <c r="C25" s="76" t="s">
        <v>482</v>
      </c>
      <c r="D25" s="79">
        <v>1000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43713</v>
      </c>
      <c r="B26" s="145">
        <v>11510</v>
      </c>
      <c r="C26" s="7" t="s">
        <v>776</v>
      </c>
      <c r="D26" s="24">
        <v>173.63999999999996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43713</v>
      </c>
      <c r="B27" s="145">
        <v>11511</v>
      </c>
      <c r="C27" s="7" t="s">
        <v>776</v>
      </c>
      <c r="D27" s="24">
        <v>137.9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>
        <v>43713</v>
      </c>
      <c r="B28" s="145">
        <v>11513</v>
      </c>
      <c r="C28" s="7" t="s">
        <v>776</v>
      </c>
      <c r="D28" s="24">
        <v>168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>
        <v>43717</v>
      </c>
      <c r="B29" s="145">
        <v>11641</v>
      </c>
      <c r="C29" s="7" t="s">
        <v>776</v>
      </c>
      <c r="D29" s="24">
        <v>182.71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>
        <v>43732</v>
      </c>
      <c r="B30" s="6"/>
      <c r="C30" s="7" t="s">
        <v>734</v>
      </c>
      <c r="D30" s="24">
        <v>400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>
        <v>43759</v>
      </c>
      <c r="B31" s="6"/>
      <c r="C31" s="7" t="s">
        <v>701</v>
      </c>
      <c r="D31" s="24">
        <v>1170.6400000000001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43773</v>
      </c>
      <c r="B32" s="145">
        <v>14523</v>
      </c>
      <c r="C32" s="7" t="s">
        <v>781</v>
      </c>
      <c r="D32" s="24">
        <v>400</v>
      </c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>
        <v>43773</v>
      </c>
      <c r="B33" s="6"/>
      <c r="C33" s="7" t="s">
        <v>1582</v>
      </c>
      <c r="D33" s="24">
        <v>-400</v>
      </c>
      <c r="F33" s="5"/>
      <c r="G33" s="6"/>
      <c r="H33" s="7"/>
      <c r="I33" s="24"/>
      <c r="K33" s="8"/>
      <c r="L33" s="6"/>
      <c r="M33" s="7"/>
      <c r="N33" s="24"/>
    </row>
    <row r="36" spans="1:14" x14ac:dyDescent="0.25">
      <c r="A36" s="232" t="s">
        <v>782</v>
      </c>
      <c r="B36" s="232"/>
      <c r="C36" s="232"/>
      <c r="D36" s="232"/>
    </row>
    <row r="37" spans="1:14" x14ac:dyDescent="0.25">
      <c r="A37" s="74"/>
      <c r="B37" s="10"/>
      <c r="C37" s="10"/>
      <c r="D37" s="23"/>
    </row>
    <row r="38" spans="1:14" x14ac:dyDescent="0.25">
      <c r="A38" s="74"/>
      <c r="B38" s="71"/>
      <c r="C38" s="10"/>
      <c r="D38" s="23"/>
    </row>
    <row r="39" spans="1:14" x14ac:dyDescent="0.25">
      <c r="A39" s="68"/>
      <c r="B39" s="71"/>
      <c r="C39" s="10"/>
      <c r="D39" s="23"/>
    </row>
    <row r="40" spans="1:14" x14ac:dyDescent="0.25">
      <c r="A40" s="68"/>
      <c r="B40" s="71"/>
      <c r="C40" s="10"/>
      <c r="D40" s="23"/>
    </row>
    <row r="41" spans="1:14" x14ac:dyDescent="0.25">
      <c r="A41" s="10"/>
      <c r="B41" s="10"/>
      <c r="C41" s="10"/>
      <c r="D41" s="81"/>
    </row>
  </sheetData>
  <mergeCells count="9">
    <mergeCell ref="A6:B8"/>
    <mergeCell ref="F6:G8"/>
    <mergeCell ref="K6:L8"/>
    <mergeCell ref="A36:D36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B10" sqref="B10"/>
    </sheetView>
  </sheetViews>
  <sheetFormatPr defaultRowHeight="15" x14ac:dyDescent="0.25"/>
  <cols>
    <col min="1" max="1" width="11.5703125" customWidth="1"/>
    <col min="2" max="2" width="14.140625" customWidth="1"/>
    <col min="3" max="3" width="85.14062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783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Geral!D20</f>
        <v>5756.6111000000001</v>
      </c>
      <c r="F6" s="211" t="s">
        <v>687</v>
      </c>
      <c r="G6" s="212"/>
      <c r="H6" s="14" t="s">
        <v>582</v>
      </c>
      <c r="I6" s="24">
        <f>Geral!E20</f>
        <v>0</v>
      </c>
      <c r="K6" s="230" t="s">
        <v>688</v>
      </c>
      <c r="L6" s="230"/>
      <c r="M6" s="4" t="s">
        <v>582</v>
      </c>
      <c r="N6" s="24">
        <f>Geral!F20</f>
        <v>0</v>
      </c>
    </row>
    <row r="7" spans="1:14" ht="15" customHeight="1" x14ac:dyDescent="0.25">
      <c r="A7" s="230"/>
      <c r="B7" s="230"/>
      <c r="C7" s="3" t="s">
        <v>583</v>
      </c>
      <c r="D7" s="24">
        <f>SUM(D10:D32)</f>
        <v>5756.61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1.1000000004059984E-3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6"/>
      <c r="C10" s="7" t="s">
        <v>724</v>
      </c>
      <c r="D10" s="24">
        <v>500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43517</v>
      </c>
      <c r="B11" s="15"/>
      <c r="C11" s="7" t="s">
        <v>725</v>
      </c>
      <c r="D11" s="24">
        <v>500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94">
        <v>2003</v>
      </c>
      <c r="B12" s="95">
        <v>2548</v>
      </c>
      <c r="C12" s="76" t="s">
        <v>243</v>
      </c>
      <c r="D12" s="79">
        <v>66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43609</v>
      </c>
      <c r="B13" s="6"/>
      <c r="C13" s="7" t="s">
        <v>729</v>
      </c>
      <c r="D13" s="24">
        <v>300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43627</v>
      </c>
      <c r="B14" s="6"/>
      <c r="C14" s="7" t="s">
        <v>692</v>
      </c>
      <c r="D14" s="24">
        <v>-490.69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43628</v>
      </c>
      <c r="B15" s="6" t="s">
        <v>784</v>
      </c>
      <c r="C15" s="7" t="s">
        <v>776</v>
      </c>
      <c r="D15" s="24">
        <v>42.45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43640</v>
      </c>
      <c r="B16" s="6"/>
      <c r="C16" s="7" t="s">
        <v>706</v>
      </c>
      <c r="D16" s="24">
        <v>300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43662</v>
      </c>
      <c r="B17" s="6"/>
      <c r="C17" s="7" t="s">
        <v>708</v>
      </c>
      <c r="D17" s="24">
        <v>300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43668</v>
      </c>
      <c r="B18" s="6" t="s">
        <v>785</v>
      </c>
      <c r="C18" s="7" t="s">
        <v>776</v>
      </c>
      <c r="D18" s="24">
        <v>199.57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43699</v>
      </c>
      <c r="B19" s="6"/>
      <c r="C19" s="7" t="s">
        <v>733</v>
      </c>
      <c r="D19" s="24">
        <v>300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43711</v>
      </c>
      <c r="B20" s="6" t="s">
        <v>786</v>
      </c>
      <c r="C20" s="7" t="s">
        <v>776</v>
      </c>
      <c r="D20" s="24">
        <v>94.6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43732</v>
      </c>
      <c r="B21" s="6"/>
      <c r="C21" s="7" t="s">
        <v>734</v>
      </c>
      <c r="D21" s="24">
        <v>300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43759</v>
      </c>
      <c r="B22" s="6"/>
      <c r="C22" s="7" t="s">
        <v>701</v>
      </c>
      <c r="D22" s="24">
        <v>3344.68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82"/>
      <c r="B23" s="71"/>
      <c r="C23" s="10"/>
      <c r="D23" s="23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55" workbookViewId="0">
      <selection sqref="A1:N1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787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Geral!D21</f>
        <v>5756.6111000000001</v>
      </c>
      <c r="F6" s="211" t="s">
        <v>687</v>
      </c>
      <c r="G6" s="212"/>
      <c r="H6" s="14" t="s">
        <v>582</v>
      </c>
      <c r="I6" s="24">
        <f>Geral!E21</f>
        <v>0</v>
      </c>
      <c r="K6" s="230" t="s">
        <v>688</v>
      </c>
      <c r="L6" s="230"/>
      <c r="M6" s="4" t="s">
        <v>582</v>
      </c>
      <c r="N6" s="24">
        <f>Geral!F21</f>
        <v>0</v>
      </c>
    </row>
    <row r="7" spans="1:14" ht="15" customHeight="1" x14ac:dyDescent="0.25">
      <c r="A7" s="230"/>
      <c r="B7" s="230"/>
      <c r="C7" s="3" t="s">
        <v>583</v>
      </c>
      <c r="D7" s="24">
        <f>SUM(D10:D38)</f>
        <v>5756.61</v>
      </c>
      <c r="F7" s="213"/>
      <c r="G7" s="214"/>
      <c r="H7" s="14" t="s">
        <v>583</v>
      </c>
      <c r="I7" s="24">
        <f>SUM(I10:I30)</f>
        <v>0</v>
      </c>
      <c r="K7" s="230"/>
      <c r="L7" s="230"/>
      <c r="M7" s="4" t="s">
        <v>583</v>
      </c>
      <c r="N7" s="24">
        <f>SUM(N10:N30)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1.1000000004059984E-3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6"/>
      <c r="C10" s="7" t="s">
        <v>724</v>
      </c>
      <c r="D10" s="24">
        <v>400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43517</v>
      </c>
      <c r="B11" s="70"/>
      <c r="C11" s="7" t="s">
        <v>725</v>
      </c>
      <c r="D11" s="23">
        <v>400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43544</v>
      </c>
      <c r="B12" s="6"/>
      <c r="C12" s="7" t="s">
        <v>726</v>
      </c>
      <c r="D12" s="24">
        <v>400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43572</v>
      </c>
      <c r="B13" s="6"/>
      <c r="C13" s="7" t="s">
        <v>692</v>
      </c>
      <c r="D13" s="24">
        <v>-1811.37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43572</v>
      </c>
      <c r="B14" s="6" t="s">
        <v>788</v>
      </c>
      <c r="C14" s="7" t="s">
        <v>776</v>
      </c>
      <c r="D14" s="24">
        <v>84.03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43578</v>
      </c>
      <c r="B15" s="71"/>
      <c r="C15" s="7" t="s">
        <v>727</v>
      </c>
      <c r="D15" s="23">
        <v>400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43609</v>
      </c>
      <c r="B16" s="6"/>
      <c r="C16" s="7" t="s">
        <v>729</v>
      </c>
      <c r="D16" s="24">
        <v>400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43613</v>
      </c>
      <c r="B17" s="6" t="s">
        <v>789</v>
      </c>
      <c r="C17" s="7" t="s">
        <v>776</v>
      </c>
      <c r="D17" s="24">
        <v>152.27000000000001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43640</v>
      </c>
      <c r="B18" s="6"/>
      <c r="C18" s="7" t="s">
        <v>706</v>
      </c>
      <c r="D18" s="24">
        <v>400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43662</v>
      </c>
      <c r="B19" s="6"/>
      <c r="C19" s="7" t="s">
        <v>708</v>
      </c>
      <c r="D19" s="24">
        <v>400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43664</v>
      </c>
      <c r="B20" s="6"/>
      <c r="C20" s="7" t="s">
        <v>790</v>
      </c>
      <c r="D20" s="24">
        <v>53.44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43699</v>
      </c>
      <c r="B21" s="6"/>
      <c r="C21" s="7" t="s">
        <v>733</v>
      </c>
      <c r="D21" s="24">
        <v>400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43720</v>
      </c>
      <c r="B22" s="6" t="s">
        <v>791</v>
      </c>
      <c r="C22" s="7" t="s">
        <v>776</v>
      </c>
      <c r="D22" s="23">
        <v>54.18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43721</v>
      </c>
      <c r="B23" s="71"/>
      <c r="C23" s="10" t="s">
        <v>792</v>
      </c>
      <c r="D23" s="23">
        <v>1000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43726</v>
      </c>
      <c r="B24" s="95"/>
      <c r="C24" s="7" t="s">
        <v>710</v>
      </c>
      <c r="D24" s="23">
        <v>1000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43732</v>
      </c>
      <c r="B25" s="6"/>
      <c r="C25" s="7" t="s">
        <v>734</v>
      </c>
      <c r="D25" s="24">
        <v>400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43749</v>
      </c>
      <c r="B26" s="71"/>
      <c r="C26" s="10" t="s">
        <v>793</v>
      </c>
      <c r="D26" s="23">
        <v>5.2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43759</v>
      </c>
      <c r="B27" s="6"/>
      <c r="C27" s="7" t="s">
        <v>701</v>
      </c>
      <c r="D27" s="23">
        <v>1618.86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68"/>
      <c r="B28" s="71"/>
      <c r="C28" s="10"/>
      <c r="D28" s="23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68"/>
      <c r="B29" s="71"/>
      <c r="C29" s="10"/>
      <c r="D29" s="23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68"/>
      <c r="B30" s="71"/>
      <c r="C30" s="10"/>
      <c r="D30" s="23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68"/>
      <c r="B31" s="71"/>
      <c r="C31" s="10"/>
      <c r="D31" s="23"/>
      <c r="F31" s="31"/>
      <c r="G31" s="32"/>
      <c r="H31" s="33"/>
      <c r="I31" s="41"/>
      <c r="K31" s="35"/>
      <c r="L31" s="32"/>
      <c r="M31" s="33"/>
      <c r="N31" s="41"/>
    </row>
    <row r="32" spans="1:14" x14ac:dyDescent="0.25">
      <c r="A32" s="68"/>
      <c r="B32" s="71"/>
      <c r="C32" s="10"/>
      <c r="D32" s="23"/>
      <c r="F32" s="31"/>
      <c r="G32" s="32"/>
      <c r="H32" s="33"/>
      <c r="I32" s="41"/>
      <c r="K32" s="35"/>
      <c r="L32" s="32"/>
      <c r="M32" s="33"/>
      <c r="N32" s="41"/>
    </row>
    <row r="33" spans="1:14" x14ac:dyDescent="0.25">
      <c r="A33" s="68"/>
      <c r="B33" s="71"/>
      <c r="C33" s="10"/>
      <c r="D33" s="23"/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68"/>
      <c r="B34" s="71"/>
      <c r="C34" s="10"/>
      <c r="D34" s="23"/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68"/>
      <c r="B35" s="71"/>
      <c r="C35" s="10"/>
      <c r="D35" s="23"/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5"/>
      <c r="B36" s="6"/>
      <c r="C36" s="7"/>
      <c r="D36" s="24"/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A37" s="46"/>
      <c r="B37" s="78"/>
      <c r="C37" s="76"/>
      <c r="D37" s="79"/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5"/>
      <c r="B38" s="6"/>
      <c r="C38" s="7"/>
      <c r="D38" s="24"/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31"/>
      <c r="B39" s="32"/>
      <c r="C39" s="33"/>
      <c r="D39" s="41"/>
      <c r="F39" s="31"/>
      <c r="G39" s="32"/>
      <c r="H39" s="33"/>
      <c r="I39" s="41"/>
      <c r="K39" s="35"/>
      <c r="L39" s="32"/>
      <c r="M39" s="33"/>
      <c r="N39" s="41"/>
    </row>
    <row r="40" spans="1:14" x14ac:dyDescent="0.25">
      <c r="D40" s="1"/>
    </row>
    <row r="41" spans="1:14" ht="15.75" x14ac:dyDescent="0.25">
      <c r="B41" s="16"/>
      <c r="C41" s="19" t="s">
        <v>715</v>
      </c>
      <c r="D41" s="42">
        <v>1400</v>
      </c>
    </row>
    <row r="42" spans="1:14" ht="15.75" x14ac:dyDescent="0.25">
      <c r="B42" s="5">
        <v>43734</v>
      </c>
      <c r="C42" s="17" t="s">
        <v>794</v>
      </c>
      <c r="D42" s="42">
        <v>-108</v>
      </c>
    </row>
    <row r="43" spans="1:14" ht="15.75" x14ac:dyDescent="0.25">
      <c r="B43" s="18"/>
      <c r="C43" s="17"/>
      <c r="D43" s="42"/>
    </row>
    <row r="44" spans="1:14" ht="15.75" x14ac:dyDescent="0.25">
      <c r="B44" s="18"/>
      <c r="C44" s="17"/>
      <c r="D44" s="42"/>
    </row>
    <row r="45" spans="1:14" ht="15.75" x14ac:dyDescent="0.25">
      <c r="B45" s="18"/>
      <c r="C45" s="17"/>
      <c r="D45" s="42"/>
    </row>
    <row r="46" spans="1:14" ht="15.75" x14ac:dyDescent="0.25">
      <c r="B46" s="18"/>
      <c r="C46" s="17"/>
      <c r="D46" s="42"/>
    </row>
    <row r="47" spans="1:14" ht="15.75" x14ac:dyDescent="0.25">
      <c r="B47" s="16"/>
      <c r="C47" s="17" t="s">
        <v>703</v>
      </c>
      <c r="D47" s="43">
        <f>SUM(D41:D46)</f>
        <v>1292</v>
      </c>
    </row>
    <row r="48" spans="1:14" x14ac:dyDescent="0.25">
      <c r="D48" s="1"/>
    </row>
    <row r="49" spans="2:4" x14ac:dyDescent="0.25">
      <c r="D49" s="1"/>
    </row>
    <row r="50" spans="2:4" ht="15.75" x14ac:dyDescent="0.25">
      <c r="B50" s="16"/>
      <c r="C50" s="19" t="s">
        <v>795</v>
      </c>
      <c r="D50" s="42">
        <v>218.5</v>
      </c>
    </row>
    <row r="51" spans="2:4" ht="15.75" x14ac:dyDescent="0.25">
      <c r="B51" s="107">
        <v>1802</v>
      </c>
      <c r="C51" s="17" t="s">
        <v>796</v>
      </c>
      <c r="D51" s="42">
        <v>-30.2</v>
      </c>
    </row>
    <row r="52" spans="2:4" ht="15.75" x14ac:dyDescent="0.25">
      <c r="B52" s="107">
        <v>1605</v>
      </c>
      <c r="C52" s="17" t="s">
        <v>797</v>
      </c>
      <c r="D52" s="42">
        <v>-41.85</v>
      </c>
    </row>
    <row r="53" spans="2:4" ht="15.75" x14ac:dyDescent="0.25">
      <c r="B53" s="107">
        <v>2105</v>
      </c>
      <c r="C53" s="17" t="s">
        <v>798</v>
      </c>
      <c r="D53" s="42">
        <f>-(14.51+53.44+41.85)</f>
        <v>-109.80000000000001</v>
      </c>
    </row>
    <row r="54" spans="2:4" ht="15.75" x14ac:dyDescent="0.25">
      <c r="B54" s="107">
        <v>1110</v>
      </c>
      <c r="C54" s="17" t="s">
        <v>799</v>
      </c>
      <c r="D54" s="42">
        <v>-41.85</v>
      </c>
    </row>
    <row r="55" spans="2:4" ht="15.75" x14ac:dyDescent="0.25">
      <c r="B55" s="107">
        <v>1110</v>
      </c>
      <c r="C55" s="17" t="s">
        <v>800</v>
      </c>
      <c r="D55" s="42">
        <v>5.2</v>
      </c>
    </row>
    <row r="56" spans="2:4" ht="15.75" x14ac:dyDescent="0.25">
      <c r="B56" s="21"/>
      <c r="C56" s="17"/>
      <c r="D56" s="42"/>
    </row>
    <row r="57" spans="2:4" ht="15.75" x14ac:dyDescent="0.25">
      <c r="B57" s="21"/>
      <c r="C57" s="17"/>
      <c r="D57" s="42"/>
    </row>
    <row r="58" spans="2:4" ht="15.75" x14ac:dyDescent="0.25">
      <c r="B58" s="16"/>
      <c r="C58" s="17" t="s">
        <v>703</v>
      </c>
      <c r="D58" s="43">
        <f>SUM(D50:D57)</f>
        <v>0</v>
      </c>
    </row>
    <row r="59" spans="2:4" x14ac:dyDescent="0.25">
      <c r="D59" s="1"/>
    </row>
    <row r="60" spans="2:4" ht="15.75" x14ac:dyDescent="0.25">
      <c r="B60" s="16"/>
      <c r="C60" s="19" t="s">
        <v>702</v>
      </c>
      <c r="D60" s="42">
        <v>1500</v>
      </c>
    </row>
    <row r="61" spans="2:4" ht="15.75" x14ac:dyDescent="0.25">
      <c r="B61" s="21"/>
      <c r="C61" s="17"/>
      <c r="D61" s="42"/>
    </row>
    <row r="62" spans="2:4" ht="15.75" x14ac:dyDescent="0.25">
      <c r="B62" s="18"/>
      <c r="C62" s="17"/>
      <c r="D62" s="42"/>
    </row>
    <row r="63" spans="2:4" ht="15.75" x14ac:dyDescent="0.25">
      <c r="B63" s="18"/>
      <c r="C63" s="17"/>
      <c r="D63" s="42"/>
    </row>
    <row r="64" spans="2:4" ht="15.75" x14ac:dyDescent="0.25">
      <c r="B64" s="18"/>
      <c r="C64" s="17"/>
      <c r="D64" s="42"/>
    </row>
    <row r="65" spans="1:4" ht="15.75" x14ac:dyDescent="0.25">
      <c r="B65" s="18"/>
      <c r="C65" s="17"/>
      <c r="D65" s="42"/>
    </row>
    <row r="66" spans="1:4" ht="15.75" x14ac:dyDescent="0.25">
      <c r="B66" s="16"/>
      <c r="C66" s="17" t="s">
        <v>703</v>
      </c>
      <c r="D66" s="43">
        <f>SUM(D60:D65)</f>
        <v>1500</v>
      </c>
    </row>
    <row r="68" spans="1:4" x14ac:dyDescent="0.25">
      <c r="A68" s="232" t="s">
        <v>718</v>
      </c>
      <c r="B68" s="232"/>
      <c r="C68" s="232"/>
      <c r="D68" s="148">
        <f>D24</f>
        <v>1000</v>
      </c>
    </row>
    <row r="69" spans="1:4" x14ac:dyDescent="0.25">
      <c r="A69" s="5">
        <v>43770</v>
      </c>
      <c r="B69" s="95">
        <v>14288</v>
      </c>
      <c r="C69" s="7" t="s">
        <v>776</v>
      </c>
      <c r="D69" s="23">
        <v>95.75</v>
      </c>
    </row>
    <row r="70" spans="1:4" x14ac:dyDescent="0.25">
      <c r="A70" s="5"/>
      <c r="B70" s="95"/>
      <c r="C70" s="10"/>
      <c r="D70" s="23"/>
    </row>
    <row r="71" spans="1:4" x14ac:dyDescent="0.25">
      <c r="A71" s="94"/>
      <c r="B71" s="95"/>
      <c r="C71" s="10"/>
      <c r="D71" s="23"/>
    </row>
    <row r="72" spans="1:4" x14ac:dyDescent="0.25">
      <c r="A72" s="5"/>
      <c r="B72" s="95"/>
      <c r="C72" s="10"/>
      <c r="D72" s="23"/>
    </row>
    <row r="73" spans="1:4" x14ac:dyDescent="0.25">
      <c r="A73" s="5"/>
      <c r="B73" s="95"/>
      <c r="C73" s="95"/>
      <c r="D73" s="23"/>
    </row>
    <row r="74" spans="1:4" x14ac:dyDescent="0.25">
      <c r="A74" s="5"/>
      <c r="B74" s="95"/>
      <c r="C74" s="95"/>
      <c r="D74" s="23"/>
    </row>
    <row r="75" spans="1:4" x14ac:dyDescent="0.25">
      <c r="A75" s="5"/>
      <c r="B75" s="95"/>
      <c r="C75" s="10"/>
      <c r="D75" s="23"/>
    </row>
    <row r="76" spans="1:4" x14ac:dyDescent="0.25">
      <c r="A76" s="5"/>
      <c r="B76" s="95"/>
      <c r="C76" s="10"/>
      <c r="D76" s="23"/>
    </row>
    <row r="77" spans="1:4" x14ac:dyDescent="0.25">
      <c r="A77" s="5"/>
      <c r="B77" s="95"/>
      <c r="C77" s="10"/>
      <c r="D77" s="23"/>
    </row>
    <row r="78" spans="1:4" x14ac:dyDescent="0.25">
      <c r="A78" s="5"/>
      <c r="B78" s="95"/>
      <c r="C78" s="151"/>
      <c r="D78" s="23"/>
    </row>
    <row r="79" spans="1:4" x14ac:dyDescent="0.25">
      <c r="A79" s="232" t="s">
        <v>703</v>
      </c>
      <c r="B79" s="232"/>
      <c r="C79" s="232"/>
      <c r="D79" s="148">
        <f>D68-SUM(D69:D78)</f>
        <v>904.25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68:C68"/>
    <mergeCell ref="A79:C79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A21" sqref="A21:C21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801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Geral!D22</f>
        <v>5756.6111000000001</v>
      </c>
      <c r="F6" s="211" t="s">
        <v>687</v>
      </c>
      <c r="G6" s="212"/>
      <c r="H6" s="14" t="s">
        <v>582</v>
      </c>
      <c r="I6" s="24">
        <f>Geral!E22</f>
        <v>0</v>
      </c>
      <c r="K6" s="230" t="s">
        <v>688</v>
      </c>
      <c r="L6" s="230"/>
      <c r="M6" s="4" t="s">
        <v>582</v>
      </c>
      <c r="N6" s="24">
        <f>Geral!F22</f>
        <v>0</v>
      </c>
    </row>
    <row r="7" spans="1:14" ht="15" customHeight="1" x14ac:dyDescent="0.25">
      <c r="A7" s="230"/>
      <c r="B7" s="230"/>
      <c r="C7" s="3" t="s">
        <v>583</v>
      </c>
      <c r="D7" s="24">
        <f>SUM(D10:D34)</f>
        <v>5756.61</v>
      </c>
      <c r="F7" s="213"/>
      <c r="G7" s="214"/>
      <c r="H7" s="14" t="s">
        <v>583</v>
      </c>
      <c r="I7" s="24">
        <f>SUM(I10:I27)</f>
        <v>0</v>
      </c>
      <c r="K7" s="230"/>
      <c r="L7" s="230"/>
      <c r="M7" s="4" t="s">
        <v>583</v>
      </c>
      <c r="N7" s="24">
        <f>SUM(N10:N27)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1.1000000004059984E-3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43564</v>
      </c>
      <c r="B10" s="6" t="s">
        <v>802</v>
      </c>
      <c r="C10" s="76" t="s">
        <v>287</v>
      </c>
      <c r="D10" s="79">
        <v>20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43572</v>
      </c>
      <c r="B11" s="6" t="s">
        <v>803</v>
      </c>
      <c r="C11" s="10" t="s">
        <v>309</v>
      </c>
      <c r="D11" s="23">
        <v>786.14999999999986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43580</v>
      </c>
      <c r="B12" s="6" t="s">
        <v>804</v>
      </c>
      <c r="C12" s="76" t="s">
        <v>322</v>
      </c>
      <c r="D12" s="79">
        <v>55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43580</v>
      </c>
      <c r="B13" s="6" t="s">
        <v>805</v>
      </c>
      <c r="C13" s="76" t="s">
        <v>323</v>
      </c>
      <c r="D13" s="79">
        <v>340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43619</v>
      </c>
      <c r="B14" s="6" t="s">
        <v>806</v>
      </c>
      <c r="C14" s="76" t="s">
        <v>366</v>
      </c>
      <c r="D14" s="79">
        <v>300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43627</v>
      </c>
      <c r="B15" s="6"/>
      <c r="C15" s="7" t="s">
        <v>692</v>
      </c>
      <c r="D15" s="24">
        <v>-4332.97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43633</v>
      </c>
      <c r="B16" s="6" t="s">
        <v>807</v>
      </c>
      <c r="C16" s="76" t="s">
        <v>808</v>
      </c>
      <c r="D16" s="24">
        <v>75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43683</v>
      </c>
      <c r="B17" s="95">
        <v>9922</v>
      </c>
      <c r="C17" s="95" t="s">
        <v>776</v>
      </c>
      <c r="D17" s="23">
        <v>23.87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43700</v>
      </c>
      <c r="B18" s="95">
        <v>9932</v>
      </c>
      <c r="C18" s="76" t="s">
        <v>471</v>
      </c>
      <c r="D18" s="79">
        <v>500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43724</v>
      </c>
      <c r="B19" s="95">
        <v>12065</v>
      </c>
      <c r="C19" s="95" t="s">
        <v>776</v>
      </c>
      <c r="D19" s="23">
        <v>32.17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43731</v>
      </c>
      <c r="B20" s="95"/>
      <c r="C20" s="7" t="s">
        <v>710</v>
      </c>
      <c r="D20" s="23">
        <v>300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43759</v>
      </c>
      <c r="B21" s="6"/>
      <c r="C21" s="7" t="s">
        <v>701</v>
      </c>
      <c r="D21" s="23">
        <v>7657.39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68"/>
      <c r="B24" s="71"/>
      <c r="C24" s="10"/>
      <c r="D24" s="23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68"/>
      <c r="B25" s="71"/>
      <c r="C25" s="10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68"/>
      <c r="B26" s="71"/>
      <c r="C26" s="10"/>
      <c r="D26" s="23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68"/>
      <c r="B27" s="71"/>
      <c r="C27" s="10"/>
      <c r="D27" s="23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68"/>
      <c r="B28" s="71"/>
      <c r="C28" s="10"/>
      <c r="D28" s="23"/>
      <c r="F28" s="31"/>
      <c r="G28" s="32"/>
      <c r="H28" s="33"/>
      <c r="I28" s="41"/>
      <c r="K28" s="35"/>
      <c r="L28" s="32"/>
      <c r="M28" s="33"/>
      <c r="N28" s="41"/>
    </row>
    <row r="29" spans="1:14" x14ac:dyDescent="0.25">
      <c r="A29" s="5"/>
      <c r="B29" s="6"/>
      <c r="C29" s="7"/>
      <c r="D29" s="24"/>
      <c r="F29" s="31"/>
      <c r="G29" s="32"/>
      <c r="H29" s="33"/>
      <c r="I29" s="41"/>
      <c r="K29" s="35"/>
      <c r="L29" s="32"/>
      <c r="M29" s="33"/>
      <c r="N29" s="41"/>
    </row>
    <row r="30" spans="1:14" x14ac:dyDescent="0.25">
      <c r="A30" s="5"/>
      <c r="B30" s="6"/>
      <c r="C30" s="7"/>
      <c r="D30" s="24"/>
      <c r="F30" s="31"/>
      <c r="G30" s="32"/>
      <c r="H30" s="33"/>
      <c r="I30" s="41"/>
      <c r="K30" s="35"/>
      <c r="L30" s="32"/>
      <c r="M30" s="33"/>
      <c r="N30" s="41"/>
    </row>
    <row r="31" spans="1:14" x14ac:dyDescent="0.25">
      <c r="A31" s="5"/>
      <c r="B31" s="6"/>
      <c r="C31" s="7"/>
      <c r="D31" s="24"/>
      <c r="F31" s="31"/>
      <c r="G31" s="32"/>
      <c r="H31" s="33"/>
      <c r="I31" s="41"/>
      <c r="K31" s="35"/>
      <c r="L31" s="32"/>
      <c r="M31" s="33"/>
      <c r="N31" s="41"/>
    </row>
    <row r="32" spans="1:14" x14ac:dyDescent="0.25">
      <c r="A32" s="68"/>
      <c r="B32" s="71"/>
      <c r="C32" s="10"/>
      <c r="D32" s="23"/>
      <c r="F32" s="31"/>
      <c r="G32" s="32"/>
      <c r="H32" s="33"/>
      <c r="I32" s="41"/>
      <c r="K32" s="35"/>
      <c r="L32" s="32"/>
      <c r="M32" s="33"/>
      <c r="N32" s="41"/>
    </row>
    <row r="33" spans="1:14" x14ac:dyDescent="0.25">
      <c r="A33" s="68"/>
      <c r="B33" s="71"/>
      <c r="C33" s="10"/>
      <c r="D33" s="23"/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82"/>
      <c r="B34" s="92"/>
      <c r="D34" s="1"/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D35" s="1"/>
    </row>
    <row r="36" spans="1:14" ht="15.75" x14ac:dyDescent="0.25">
      <c r="B36" s="16"/>
      <c r="C36" s="19" t="s">
        <v>715</v>
      </c>
      <c r="D36" s="42">
        <f>'[1]CONSUMO E SERVIÇO'!$F$49</f>
        <v>1000</v>
      </c>
    </row>
    <row r="37" spans="1:14" ht="15.75" x14ac:dyDescent="0.25">
      <c r="B37" s="21"/>
      <c r="C37" s="17"/>
      <c r="D37" s="42"/>
    </row>
    <row r="38" spans="1:14" ht="15.75" x14ac:dyDescent="0.25">
      <c r="B38" s="21"/>
      <c r="C38" s="17"/>
      <c r="D38" s="42"/>
    </row>
    <row r="39" spans="1:14" ht="15.75" x14ac:dyDescent="0.25">
      <c r="B39" s="21"/>
      <c r="C39" s="17"/>
      <c r="D39" s="42"/>
    </row>
    <row r="40" spans="1:14" x14ac:dyDescent="0.25">
      <c r="B40" s="5"/>
      <c r="C40" s="7"/>
      <c r="D40" s="24"/>
    </row>
    <row r="41" spans="1:14" ht="15.75" x14ac:dyDescent="0.25">
      <c r="B41" s="18"/>
      <c r="C41" s="17"/>
      <c r="D41" s="42"/>
    </row>
    <row r="42" spans="1:14" ht="15.75" x14ac:dyDescent="0.25">
      <c r="B42" s="16"/>
      <c r="C42" s="17" t="s">
        <v>703</v>
      </c>
      <c r="D42" s="43">
        <f>D36-SUM(D37:D39)+D40</f>
        <v>1000</v>
      </c>
    </row>
    <row r="43" spans="1:14" x14ac:dyDescent="0.25">
      <c r="D43" s="1"/>
    </row>
    <row r="44" spans="1:14" ht="15.75" x14ac:dyDescent="0.25">
      <c r="B44" s="16"/>
      <c r="C44" s="19" t="s">
        <v>795</v>
      </c>
      <c r="D44" s="42">
        <v>63.03</v>
      </c>
    </row>
    <row r="45" spans="1:14" ht="15.75" x14ac:dyDescent="0.25">
      <c r="B45" s="21"/>
      <c r="C45" s="17"/>
      <c r="D45" s="42"/>
    </row>
    <row r="46" spans="1:14" ht="15.75" x14ac:dyDescent="0.25">
      <c r="B46" s="21"/>
      <c r="C46" s="17"/>
      <c r="D46" s="42"/>
    </row>
    <row r="47" spans="1:14" ht="15.75" x14ac:dyDescent="0.25">
      <c r="B47" s="21"/>
      <c r="C47" s="17"/>
      <c r="D47" s="42"/>
    </row>
    <row r="48" spans="1:14" ht="15.75" x14ac:dyDescent="0.25">
      <c r="B48" s="21"/>
      <c r="C48" s="17"/>
      <c r="D48" s="42"/>
    </row>
    <row r="49" spans="1:4" ht="15.75" x14ac:dyDescent="0.25">
      <c r="B49" s="5"/>
      <c r="C49" s="7"/>
      <c r="D49" s="42"/>
    </row>
    <row r="50" spans="1:4" ht="15.75" x14ac:dyDescent="0.25">
      <c r="B50" s="21"/>
      <c r="C50" s="17"/>
      <c r="D50" s="42"/>
    </row>
    <row r="51" spans="1:4" ht="15.75" x14ac:dyDescent="0.25">
      <c r="B51" s="18"/>
      <c r="C51" s="17"/>
      <c r="D51" s="42"/>
    </row>
    <row r="52" spans="1:4" ht="15.75" x14ac:dyDescent="0.25">
      <c r="B52" s="16"/>
      <c r="C52" s="17" t="s">
        <v>703</v>
      </c>
      <c r="D52" s="43">
        <f>D44-SUM(D45:D48)+D49-D50</f>
        <v>63.03</v>
      </c>
    </row>
    <row r="54" spans="1:4" x14ac:dyDescent="0.25">
      <c r="A54" s="232" t="s">
        <v>718</v>
      </c>
      <c r="B54" s="232"/>
      <c r="C54" s="232"/>
      <c r="D54" s="148">
        <f>D20</f>
        <v>300</v>
      </c>
    </row>
    <row r="55" spans="1:4" x14ac:dyDescent="0.25">
      <c r="A55" s="149"/>
      <c r="B55" s="150"/>
      <c r="C55" s="149"/>
      <c r="D55" s="23"/>
    </row>
    <row r="56" spans="1:4" x14ac:dyDescent="0.25">
      <c r="A56" s="10"/>
      <c r="B56" s="147"/>
      <c r="C56" s="10"/>
      <c r="D56" s="23"/>
    </row>
    <row r="57" spans="1:4" x14ac:dyDescent="0.25">
      <c r="A57" s="10"/>
      <c r="B57" s="147"/>
      <c r="C57" s="10"/>
      <c r="D57" s="23"/>
    </row>
    <row r="58" spans="1:4" x14ac:dyDescent="0.25">
      <c r="A58" s="10"/>
      <c r="B58" s="147"/>
      <c r="C58" s="10"/>
      <c r="D58" s="23"/>
    </row>
    <row r="59" spans="1:4" x14ac:dyDescent="0.25">
      <c r="A59" s="10"/>
      <c r="B59" s="147"/>
      <c r="C59" s="10"/>
      <c r="D59" s="23"/>
    </row>
    <row r="60" spans="1:4" x14ac:dyDescent="0.25">
      <c r="A60" s="10"/>
      <c r="B60" s="147"/>
      <c r="C60" s="10"/>
      <c r="D60" s="23"/>
    </row>
    <row r="61" spans="1:4" x14ac:dyDescent="0.25">
      <c r="A61" s="10"/>
      <c r="B61" s="147"/>
      <c r="C61" s="10"/>
      <c r="D61" s="23"/>
    </row>
    <row r="62" spans="1:4" x14ac:dyDescent="0.25">
      <c r="A62" s="10"/>
      <c r="B62" s="147"/>
      <c r="C62" s="10"/>
      <c r="D62" s="23"/>
    </row>
    <row r="63" spans="1:4" x14ac:dyDescent="0.25">
      <c r="A63" s="10"/>
      <c r="B63" s="147"/>
      <c r="C63" s="10"/>
      <c r="D63" s="23"/>
    </row>
    <row r="64" spans="1:4" x14ac:dyDescent="0.25">
      <c r="A64" s="151"/>
      <c r="B64" s="152"/>
      <c r="C64" s="151"/>
      <c r="D64" s="23"/>
    </row>
    <row r="65" spans="1:4" x14ac:dyDescent="0.25">
      <c r="A65" s="232" t="s">
        <v>703</v>
      </c>
      <c r="B65" s="232"/>
      <c r="C65" s="232"/>
      <c r="D65" s="148">
        <f>D54-SUM(D55:D64)</f>
        <v>300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54:C54"/>
    <mergeCell ref="A65:C6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A25" sqref="A25:C2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54.140625" customWidth="1"/>
    <col min="9" max="9" width="12.140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809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Geral!D23</f>
        <v>5756.6111000000001</v>
      </c>
      <c r="F6" s="211" t="s">
        <v>687</v>
      </c>
      <c r="G6" s="212"/>
      <c r="H6" s="14" t="s">
        <v>582</v>
      </c>
      <c r="I6" s="24">
        <f>Geral!E23</f>
        <v>0</v>
      </c>
      <c r="K6" s="230" t="s">
        <v>688</v>
      </c>
      <c r="L6" s="230"/>
      <c r="M6" s="4" t="s">
        <v>582</v>
      </c>
      <c r="N6" s="24">
        <f>Geral!F23</f>
        <v>0</v>
      </c>
    </row>
    <row r="7" spans="1:14" ht="15" customHeight="1" x14ac:dyDescent="0.25">
      <c r="A7" s="230"/>
      <c r="B7" s="230"/>
      <c r="C7" s="3" t="s">
        <v>583</v>
      </c>
      <c r="D7" s="24">
        <f>SUM(D10:D33)</f>
        <v>5756.61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1.1000000004059984E-3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6"/>
      <c r="C10" s="7" t="s">
        <v>724</v>
      </c>
      <c r="D10" s="24">
        <v>400</v>
      </c>
      <c r="F10" s="5">
        <v>43501</v>
      </c>
      <c r="G10" s="6" t="s">
        <v>810</v>
      </c>
      <c r="H10" s="7" t="s">
        <v>811</v>
      </c>
      <c r="I10" s="24">
        <f>2277.74+318.86</f>
        <v>2596.6</v>
      </c>
      <c r="K10" s="8"/>
      <c r="L10" s="6"/>
      <c r="M10" s="7"/>
      <c r="N10" s="24"/>
    </row>
    <row r="11" spans="1:14" x14ac:dyDescent="0.25">
      <c r="A11" s="5">
        <v>43514</v>
      </c>
      <c r="B11" s="6"/>
      <c r="C11" s="7" t="s">
        <v>812</v>
      </c>
      <c r="D11" s="24">
        <f>133-6.65</f>
        <v>126.35</v>
      </c>
      <c r="F11" s="5">
        <v>43501</v>
      </c>
      <c r="G11" s="6"/>
      <c r="H11" s="7" t="s">
        <v>813</v>
      </c>
      <c r="I11" s="24">
        <v>-2596.6</v>
      </c>
      <c r="K11" s="8"/>
      <c r="L11" s="6"/>
      <c r="M11" s="7"/>
      <c r="N11" s="24"/>
    </row>
    <row r="12" spans="1:14" x14ac:dyDescent="0.25">
      <c r="A12" s="5">
        <v>43515</v>
      </c>
      <c r="B12" s="6"/>
      <c r="C12" s="7" t="s">
        <v>814</v>
      </c>
      <c r="D12" s="24">
        <v>140</v>
      </c>
      <c r="F12" s="5">
        <v>43759</v>
      </c>
      <c r="G12" s="6"/>
      <c r="H12" s="7" t="s">
        <v>815</v>
      </c>
      <c r="I12" s="24">
        <v>-2408.7399999999998</v>
      </c>
      <c r="K12" s="8"/>
      <c r="L12" s="6"/>
      <c r="M12" s="7"/>
      <c r="N12" s="24"/>
    </row>
    <row r="13" spans="1:14" x14ac:dyDescent="0.25">
      <c r="A13" s="5">
        <v>43517</v>
      </c>
      <c r="B13" s="6"/>
      <c r="C13" s="7" t="s">
        <v>725</v>
      </c>
      <c r="D13" s="24">
        <v>400</v>
      </c>
      <c r="F13" s="5">
        <v>43759</v>
      </c>
      <c r="G13" s="6"/>
      <c r="H13" s="7" t="s">
        <v>816</v>
      </c>
      <c r="I13" s="24">
        <v>2408.7399999999998</v>
      </c>
      <c r="K13" s="8"/>
      <c r="L13" s="6"/>
      <c r="M13" s="7"/>
      <c r="N13" s="24"/>
    </row>
    <row r="14" spans="1:14" x14ac:dyDescent="0.25">
      <c r="A14" s="5">
        <v>43557</v>
      </c>
      <c r="B14" s="6" t="s">
        <v>817</v>
      </c>
      <c r="C14" s="7" t="s">
        <v>705</v>
      </c>
      <c r="D14" s="24">
        <v>57.25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43557</v>
      </c>
      <c r="B15" s="6" t="s">
        <v>818</v>
      </c>
      <c r="C15" s="7" t="s">
        <v>705</v>
      </c>
      <c r="D15" s="24">
        <v>188.81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43563</v>
      </c>
      <c r="B16" s="6" t="s">
        <v>819</v>
      </c>
      <c r="C16" s="7" t="s">
        <v>705</v>
      </c>
      <c r="D16" s="24">
        <v>103.05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43594</v>
      </c>
      <c r="B17" s="6" t="s">
        <v>820</v>
      </c>
      <c r="C17" s="7" t="s">
        <v>705</v>
      </c>
      <c r="D17" s="24">
        <v>80.150000000000006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43594</v>
      </c>
      <c r="B18" s="6" t="s">
        <v>821</v>
      </c>
      <c r="C18" s="7" t="s">
        <v>705</v>
      </c>
      <c r="D18" s="24">
        <v>151.97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43612</v>
      </c>
      <c r="B19" s="6" t="s">
        <v>822</v>
      </c>
      <c r="C19" s="7" t="s">
        <v>705</v>
      </c>
      <c r="D19" s="24">
        <v>164.9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43628</v>
      </c>
      <c r="B20" s="6" t="s">
        <v>823</v>
      </c>
      <c r="C20" s="7" t="s">
        <v>705</v>
      </c>
      <c r="D20" s="24">
        <v>34.35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43633</v>
      </c>
      <c r="B21" s="6"/>
      <c r="C21" s="7" t="s">
        <v>824</v>
      </c>
      <c r="D21" s="24">
        <v>18.16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43664</v>
      </c>
      <c r="B22" s="6"/>
      <c r="C22" s="7" t="s">
        <v>825</v>
      </c>
      <c r="D22" s="24">
        <v>115.25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43720</v>
      </c>
      <c r="B23" s="6"/>
      <c r="C23" s="76" t="s">
        <v>826</v>
      </c>
      <c r="D23" s="24">
        <v>18.829999999999998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43731</v>
      </c>
      <c r="B24" s="95"/>
      <c r="C24" s="7" t="s">
        <v>710</v>
      </c>
      <c r="D24" s="23">
        <v>500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43759</v>
      </c>
      <c r="B25" s="6"/>
      <c r="C25" s="7" t="s">
        <v>701</v>
      </c>
      <c r="D25" s="23">
        <v>3257.54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68"/>
      <c r="B29" s="71"/>
      <c r="C29" s="10"/>
      <c r="D29" s="23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68"/>
      <c r="B30" s="71"/>
      <c r="C30" s="10"/>
      <c r="D30" s="23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68"/>
      <c r="B31" s="71"/>
      <c r="C31" s="10"/>
      <c r="D31" s="23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/>
      <c r="B33" s="6"/>
      <c r="C33" s="7"/>
      <c r="D33" s="24"/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31"/>
      <c r="B34" s="32"/>
      <c r="C34" s="33"/>
      <c r="D34" s="41"/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D35" s="1"/>
    </row>
    <row r="36" spans="1:14" x14ac:dyDescent="0.25">
      <c r="A36" s="232" t="s">
        <v>718</v>
      </c>
      <c r="B36" s="232"/>
      <c r="C36" s="232"/>
      <c r="D36" s="148">
        <f>D24</f>
        <v>500</v>
      </c>
    </row>
    <row r="37" spans="1:14" x14ac:dyDescent="0.25">
      <c r="A37" s="5">
        <v>43739</v>
      </c>
      <c r="B37" s="6" t="s">
        <v>827</v>
      </c>
      <c r="C37" s="7" t="s">
        <v>705</v>
      </c>
      <c r="D37" s="23">
        <v>214.82</v>
      </c>
    </row>
    <row r="38" spans="1:14" x14ac:dyDescent="0.25">
      <c r="A38" s="10"/>
      <c r="B38" s="147"/>
      <c r="C38" s="10"/>
      <c r="D38" s="23"/>
    </row>
    <row r="39" spans="1:14" x14ac:dyDescent="0.25">
      <c r="A39" s="10"/>
      <c r="B39" s="147"/>
      <c r="C39" s="10"/>
      <c r="D39" s="23"/>
    </row>
    <row r="40" spans="1:14" x14ac:dyDescent="0.25">
      <c r="A40" s="10"/>
      <c r="B40" s="147"/>
      <c r="C40" s="10"/>
      <c r="D40" s="23"/>
    </row>
    <row r="41" spans="1:14" x14ac:dyDescent="0.25">
      <c r="A41" s="10"/>
      <c r="B41" s="147"/>
      <c r="C41" s="10"/>
      <c r="D41" s="23"/>
    </row>
    <row r="42" spans="1:14" x14ac:dyDescent="0.25">
      <c r="A42" s="10"/>
      <c r="B42" s="147"/>
      <c r="C42" s="10"/>
      <c r="D42" s="23"/>
    </row>
    <row r="43" spans="1:14" x14ac:dyDescent="0.25">
      <c r="A43" s="10"/>
      <c r="B43" s="147"/>
      <c r="C43" s="10"/>
      <c r="D43" s="23"/>
    </row>
    <row r="44" spans="1:14" x14ac:dyDescent="0.25">
      <c r="A44" s="10"/>
      <c r="B44" s="147"/>
      <c r="C44" s="10"/>
      <c r="D44" s="23"/>
    </row>
    <row r="45" spans="1:14" x14ac:dyDescent="0.25">
      <c r="A45" s="10"/>
      <c r="B45" s="147"/>
      <c r="C45" s="10"/>
      <c r="D45" s="23"/>
    </row>
    <row r="46" spans="1:14" x14ac:dyDescent="0.25">
      <c r="A46" s="151"/>
      <c r="B46" s="152"/>
      <c r="C46" s="151"/>
      <c r="D46" s="23"/>
    </row>
    <row r="47" spans="1:14" x14ac:dyDescent="0.25">
      <c r="A47" s="232" t="s">
        <v>703</v>
      </c>
      <c r="B47" s="232"/>
      <c r="C47" s="232"/>
      <c r="D47" s="148">
        <f>D36-SUM(D37:D46)</f>
        <v>285.18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36:C36"/>
    <mergeCell ref="A47:C47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76" workbookViewId="0">
      <selection activeCell="D89" sqref="D89"/>
    </sheetView>
  </sheetViews>
  <sheetFormatPr defaultRowHeight="15" x14ac:dyDescent="0.25"/>
  <cols>
    <col min="1" max="1" width="10.7109375" customWidth="1"/>
    <col min="2" max="2" width="11.85546875" customWidth="1"/>
    <col min="3" max="3" width="13.140625" customWidth="1"/>
    <col min="4" max="4" width="42.7109375" customWidth="1"/>
    <col min="5" max="5" width="27" customWidth="1"/>
  </cols>
  <sheetData>
    <row r="1" spans="1:5" ht="18.75" x14ac:dyDescent="0.3">
      <c r="A1" s="210" t="s">
        <v>18</v>
      </c>
      <c r="B1" s="210"/>
      <c r="C1" s="210"/>
      <c r="D1" s="210"/>
      <c r="E1" s="210"/>
    </row>
    <row r="2" spans="1:5" x14ac:dyDescent="0.25">
      <c r="A2" s="45" t="s">
        <v>1</v>
      </c>
      <c r="B2" s="45" t="s">
        <v>19</v>
      </c>
      <c r="C2" s="45" t="s">
        <v>3</v>
      </c>
      <c r="D2" s="45" t="s">
        <v>4</v>
      </c>
      <c r="E2" s="45" t="s">
        <v>20</v>
      </c>
    </row>
    <row r="3" spans="1:5" x14ac:dyDescent="0.25">
      <c r="A3" s="68">
        <v>2509</v>
      </c>
      <c r="B3" s="71">
        <v>1386</v>
      </c>
      <c r="C3" s="10" t="s">
        <v>8</v>
      </c>
      <c r="D3" s="10" t="s">
        <v>21</v>
      </c>
      <c r="E3" s="10"/>
    </row>
    <row r="4" spans="1:5" x14ac:dyDescent="0.25">
      <c r="A4" s="68">
        <v>1911</v>
      </c>
      <c r="B4" s="71">
        <v>1512</v>
      </c>
      <c r="C4" s="10" t="s">
        <v>8</v>
      </c>
      <c r="D4" s="10" t="s">
        <v>22</v>
      </c>
      <c r="E4" s="10"/>
    </row>
    <row r="5" spans="1:5" x14ac:dyDescent="0.25">
      <c r="A5" s="68">
        <v>2911</v>
      </c>
      <c r="B5" s="71">
        <v>1526</v>
      </c>
      <c r="C5" s="10" t="s">
        <v>8</v>
      </c>
      <c r="D5" s="10" t="s">
        <v>23</v>
      </c>
      <c r="E5" s="10"/>
    </row>
    <row r="6" spans="1:5" x14ac:dyDescent="0.25">
      <c r="A6" s="68">
        <v>3011</v>
      </c>
      <c r="B6" s="71">
        <v>1523</v>
      </c>
      <c r="C6" s="10" t="s">
        <v>24</v>
      </c>
      <c r="D6" s="10" t="s">
        <v>25</v>
      </c>
      <c r="E6" s="10"/>
    </row>
    <row r="7" spans="1:5" x14ac:dyDescent="0.25">
      <c r="A7" s="68">
        <v>312</v>
      </c>
      <c r="B7" s="71">
        <v>1537</v>
      </c>
      <c r="C7" s="10" t="s">
        <v>26</v>
      </c>
      <c r="D7" s="10" t="s">
        <v>27</v>
      </c>
      <c r="E7" s="10"/>
    </row>
    <row r="8" spans="1:5" x14ac:dyDescent="0.25">
      <c r="A8" s="68">
        <v>412</v>
      </c>
      <c r="B8" s="71">
        <v>1538</v>
      </c>
      <c r="C8" s="10" t="s">
        <v>24</v>
      </c>
      <c r="D8" s="10" t="s">
        <v>28</v>
      </c>
      <c r="E8" s="10"/>
    </row>
    <row r="9" spans="1:5" x14ac:dyDescent="0.25">
      <c r="A9" s="68">
        <v>412</v>
      </c>
      <c r="B9" s="71">
        <v>1541</v>
      </c>
      <c r="C9" s="10" t="s">
        <v>8</v>
      </c>
      <c r="D9" s="10" t="s">
        <v>29</v>
      </c>
      <c r="E9" s="10"/>
    </row>
    <row r="10" spans="1:5" x14ac:dyDescent="0.25">
      <c r="A10" s="68">
        <v>412</v>
      </c>
      <c r="B10" s="71">
        <v>1540</v>
      </c>
      <c r="C10" s="10" t="s">
        <v>8</v>
      </c>
      <c r="D10" s="10" t="s">
        <v>30</v>
      </c>
      <c r="E10" s="10"/>
    </row>
    <row r="11" spans="1:5" x14ac:dyDescent="0.25">
      <c r="A11" s="109">
        <v>1001</v>
      </c>
      <c r="B11" s="110">
        <v>9</v>
      </c>
      <c r="C11" s="10" t="s">
        <v>14</v>
      </c>
      <c r="D11" s="10" t="s">
        <v>31</v>
      </c>
      <c r="E11" s="10" t="s">
        <v>32</v>
      </c>
    </row>
    <row r="12" spans="1:5" x14ac:dyDescent="0.25">
      <c r="A12" s="109">
        <v>1001</v>
      </c>
      <c r="B12" s="110">
        <v>10</v>
      </c>
      <c r="C12" s="10" t="s">
        <v>14</v>
      </c>
      <c r="D12" s="10" t="s">
        <v>31</v>
      </c>
      <c r="E12" s="10" t="s">
        <v>32</v>
      </c>
    </row>
    <row r="13" spans="1:5" x14ac:dyDescent="0.25">
      <c r="A13" s="109">
        <v>2502</v>
      </c>
      <c r="B13" s="110">
        <v>163</v>
      </c>
      <c r="C13" s="10" t="s">
        <v>8</v>
      </c>
      <c r="D13" s="10" t="s">
        <v>33</v>
      </c>
      <c r="E13" s="10"/>
    </row>
    <row r="14" spans="1:5" x14ac:dyDescent="0.25">
      <c r="A14" s="109">
        <v>1103</v>
      </c>
      <c r="B14" s="110">
        <v>186</v>
      </c>
      <c r="C14" s="10" t="s">
        <v>14</v>
      </c>
      <c r="D14" s="10" t="s">
        <v>34</v>
      </c>
      <c r="E14" s="10" t="s">
        <v>35</v>
      </c>
    </row>
    <row r="15" spans="1:5" x14ac:dyDescent="0.25">
      <c r="A15" s="109">
        <v>1303</v>
      </c>
      <c r="B15" s="110">
        <v>240</v>
      </c>
      <c r="C15" s="10" t="s">
        <v>24</v>
      </c>
      <c r="D15" s="10" t="s">
        <v>36</v>
      </c>
      <c r="E15" s="10"/>
    </row>
    <row r="16" spans="1:5" x14ac:dyDescent="0.25">
      <c r="A16" s="109">
        <v>1403</v>
      </c>
      <c r="B16" s="110">
        <v>260</v>
      </c>
      <c r="C16" s="10" t="s">
        <v>26</v>
      </c>
      <c r="D16" s="10" t="s">
        <v>37</v>
      </c>
      <c r="E16" s="10"/>
    </row>
    <row r="17" spans="1:5" x14ac:dyDescent="0.25">
      <c r="A17" s="109">
        <v>1403</v>
      </c>
      <c r="B17" s="110">
        <v>286</v>
      </c>
      <c r="C17" s="10" t="s">
        <v>38</v>
      </c>
      <c r="D17" s="10" t="s">
        <v>39</v>
      </c>
      <c r="E17" s="10"/>
    </row>
    <row r="18" spans="1:5" x14ac:dyDescent="0.25">
      <c r="A18" s="109">
        <v>1403</v>
      </c>
      <c r="B18" s="110">
        <v>305</v>
      </c>
      <c r="C18" s="10" t="s">
        <v>26</v>
      </c>
      <c r="D18" s="10" t="s">
        <v>37</v>
      </c>
      <c r="E18" s="10"/>
    </row>
    <row r="19" spans="1:5" x14ac:dyDescent="0.25">
      <c r="A19" s="109">
        <v>1503</v>
      </c>
      <c r="B19" s="110">
        <v>267</v>
      </c>
      <c r="C19" s="10" t="s">
        <v>40</v>
      </c>
      <c r="D19" s="10" t="s">
        <v>41</v>
      </c>
      <c r="E19" s="10" t="s">
        <v>42</v>
      </c>
    </row>
    <row r="20" spans="1:5" x14ac:dyDescent="0.25">
      <c r="A20" s="109">
        <v>1503</v>
      </c>
      <c r="B20" s="110">
        <v>328</v>
      </c>
      <c r="C20" s="10" t="s">
        <v>40</v>
      </c>
      <c r="D20" s="10" t="s">
        <v>43</v>
      </c>
      <c r="E20" s="10" t="s">
        <v>44</v>
      </c>
    </row>
    <row r="21" spans="1:5" x14ac:dyDescent="0.25">
      <c r="A21" s="109">
        <v>1503</v>
      </c>
      <c r="B21" s="110">
        <v>279</v>
      </c>
      <c r="C21" s="10" t="s">
        <v>14</v>
      </c>
      <c r="D21" s="10" t="s">
        <v>45</v>
      </c>
      <c r="E21" s="10" t="s">
        <v>46</v>
      </c>
    </row>
    <row r="22" spans="1:5" x14ac:dyDescent="0.25">
      <c r="A22" s="109">
        <v>1503</v>
      </c>
      <c r="B22" s="110">
        <v>329</v>
      </c>
      <c r="C22" s="10" t="s">
        <v>40</v>
      </c>
      <c r="D22" s="10" t="s">
        <v>47</v>
      </c>
      <c r="E22" s="10" t="s">
        <v>48</v>
      </c>
    </row>
    <row r="23" spans="1:5" x14ac:dyDescent="0.25">
      <c r="A23" s="109">
        <v>1503</v>
      </c>
      <c r="B23" s="110">
        <v>331</v>
      </c>
      <c r="C23" s="10" t="s">
        <v>40</v>
      </c>
      <c r="D23" s="10" t="s">
        <v>49</v>
      </c>
      <c r="E23" s="10" t="s">
        <v>50</v>
      </c>
    </row>
    <row r="24" spans="1:5" x14ac:dyDescent="0.25">
      <c r="A24" s="109">
        <v>1503</v>
      </c>
      <c r="B24" s="110">
        <v>332</v>
      </c>
      <c r="C24" s="10" t="s">
        <v>40</v>
      </c>
      <c r="D24" s="10" t="s">
        <v>51</v>
      </c>
      <c r="E24" s="10" t="s">
        <v>50</v>
      </c>
    </row>
    <row r="25" spans="1:5" x14ac:dyDescent="0.25">
      <c r="A25" s="109">
        <v>1503</v>
      </c>
      <c r="B25" s="110">
        <v>334</v>
      </c>
      <c r="C25" s="10" t="s">
        <v>14</v>
      </c>
      <c r="D25" s="10" t="s">
        <v>45</v>
      </c>
      <c r="E25" s="10" t="s">
        <v>52</v>
      </c>
    </row>
    <row r="26" spans="1:5" x14ac:dyDescent="0.25">
      <c r="A26" s="109">
        <v>1503</v>
      </c>
      <c r="B26" s="110">
        <v>325</v>
      </c>
      <c r="C26" s="10" t="s">
        <v>26</v>
      </c>
      <c r="D26" s="10" t="s">
        <v>53</v>
      </c>
      <c r="E26" s="10"/>
    </row>
    <row r="27" spans="1:5" x14ac:dyDescent="0.25">
      <c r="A27" s="109">
        <v>1503</v>
      </c>
      <c r="B27" s="110">
        <v>360</v>
      </c>
      <c r="C27" s="10" t="s">
        <v>12</v>
      </c>
      <c r="D27" s="10" t="s">
        <v>54</v>
      </c>
      <c r="E27" s="10"/>
    </row>
    <row r="28" spans="1:5" x14ac:dyDescent="0.25">
      <c r="A28" s="109">
        <v>1503</v>
      </c>
      <c r="B28" s="110">
        <v>335</v>
      </c>
      <c r="C28" s="10" t="s">
        <v>26</v>
      </c>
      <c r="D28" s="10" t="s">
        <v>55</v>
      </c>
      <c r="E28" s="10"/>
    </row>
    <row r="29" spans="1:5" x14ac:dyDescent="0.25">
      <c r="A29" s="109">
        <v>1503</v>
      </c>
      <c r="B29" s="110">
        <v>363</v>
      </c>
      <c r="C29" s="10" t="s">
        <v>12</v>
      </c>
      <c r="D29" s="10" t="s">
        <v>56</v>
      </c>
      <c r="E29" s="10"/>
    </row>
    <row r="30" spans="1:5" x14ac:dyDescent="0.25">
      <c r="A30" s="109">
        <v>1503</v>
      </c>
      <c r="B30" s="110">
        <v>368</v>
      </c>
      <c r="C30" s="10" t="s">
        <v>12</v>
      </c>
      <c r="D30" s="10" t="s">
        <v>57</v>
      </c>
      <c r="E30" s="10"/>
    </row>
    <row r="31" spans="1:5" x14ac:dyDescent="0.25">
      <c r="A31" s="109">
        <v>1503</v>
      </c>
      <c r="B31" s="110">
        <v>361</v>
      </c>
      <c r="C31" s="10" t="s">
        <v>26</v>
      </c>
      <c r="D31" s="10" t="s">
        <v>58</v>
      </c>
      <c r="E31" s="10"/>
    </row>
    <row r="32" spans="1:5" x14ac:dyDescent="0.25">
      <c r="A32" s="109">
        <v>2103</v>
      </c>
      <c r="B32" s="110">
        <v>416</v>
      </c>
      <c r="C32" s="10" t="s">
        <v>59</v>
      </c>
      <c r="D32" s="10" t="s">
        <v>60</v>
      </c>
      <c r="E32" s="10"/>
    </row>
    <row r="33" spans="1:5" x14ac:dyDescent="0.25">
      <c r="A33" s="109">
        <v>2503</v>
      </c>
      <c r="B33" s="110">
        <v>412</v>
      </c>
      <c r="C33" s="10" t="s">
        <v>8</v>
      </c>
      <c r="D33" s="10" t="s">
        <v>37</v>
      </c>
      <c r="E33" s="10"/>
    </row>
    <row r="34" spans="1:5" x14ac:dyDescent="0.25">
      <c r="A34" s="109">
        <v>2503</v>
      </c>
      <c r="B34" s="110">
        <v>437</v>
      </c>
      <c r="C34" s="10" t="s">
        <v>26</v>
      </c>
      <c r="D34" s="10" t="s">
        <v>61</v>
      </c>
      <c r="E34" s="10"/>
    </row>
    <row r="35" spans="1:5" x14ac:dyDescent="0.25">
      <c r="A35" s="109">
        <v>2503</v>
      </c>
      <c r="B35" s="110">
        <v>438</v>
      </c>
      <c r="C35" s="10" t="s">
        <v>26</v>
      </c>
      <c r="D35" s="10" t="s">
        <v>62</v>
      </c>
      <c r="E35" s="10"/>
    </row>
    <row r="36" spans="1:5" x14ac:dyDescent="0.25">
      <c r="A36" s="109">
        <v>2503</v>
      </c>
      <c r="B36" s="110">
        <v>439</v>
      </c>
      <c r="C36" s="10" t="s">
        <v>26</v>
      </c>
      <c r="D36" s="10" t="s">
        <v>63</v>
      </c>
      <c r="E36" s="10"/>
    </row>
    <row r="37" spans="1:5" x14ac:dyDescent="0.25">
      <c r="A37" s="109">
        <v>2503</v>
      </c>
      <c r="B37" s="110">
        <v>441</v>
      </c>
      <c r="C37" s="10" t="s">
        <v>14</v>
      </c>
      <c r="D37" s="10" t="s">
        <v>64</v>
      </c>
      <c r="E37" s="10" t="s">
        <v>65</v>
      </c>
    </row>
    <row r="38" spans="1:5" x14ac:dyDescent="0.25">
      <c r="A38" s="109">
        <v>2503</v>
      </c>
      <c r="B38" s="110">
        <v>442</v>
      </c>
      <c r="C38" s="10" t="s">
        <v>14</v>
      </c>
      <c r="D38" s="10" t="s">
        <v>66</v>
      </c>
      <c r="E38" s="10" t="s">
        <v>65</v>
      </c>
    </row>
    <row r="39" spans="1:5" x14ac:dyDescent="0.25">
      <c r="A39" s="109">
        <v>2503</v>
      </c>
      <c r="B39" s="110">
        <v>448</v>
      </c>
      <c r="C39" s="10" t="s">
        <v>12</v>
      </c>
      <c r="D39" s="10" t="s">
        <v>67</v>
      </c>
      <c r="E39" s="10" t="s">
        <v>68</v>
      </c>
    </row>
    <row r="40" spans="1:5" x14ac:dyDescent="0.25">
      <c r="A40" s="109">
        <v>2503</v>
      </c>
      <c r="B40" s="110">
        <v>446</v>
      </c>
      <c r="C40" s="10" t="s">
        <v>14</v>
      </c>
      <c r="D40" s="10" t="s">
        <v>69</v>
      </c>
      <c r="E40" s="10" t="s">
        <v>65</v>
      </c>
    </row>
    <row r="41" spans="1:5" x14ac:dyDescent="0.25">
      <c r="A41" s="109">
        <v>2603</v>
      </c>
      <c r="B41" s="110">
        <v>456</v>
      </c>
      <c r="C41" s="10" t="s">
        <v>12</v>
      </c>
      <c r="D41" s="10" t="s">
        <v>70</v>
      </c>
      <c r="E41" s="10"/>
    </row>
    <row r="42" spans="1:5" x14ac:dyDescent="0.25">
      <c r="A42" s="109">
        <v>2603</v>
      </c>
      <c r="B42" s="110">
        <v>454</v>
      </c>
      <c r="C42" s="10" t="s">
        <v>14</v>
      </c>
      <c r="D42" s="10" t="s">
        <v>71</v>
      </c>
      <c r="E42" s="10" t="s">
        <v>72</v>
      </c>
    </row>
    <row r="43" spans="1:5" x14ac:dyDescent="0.25">
      <c r="A43" s="109">
        <v>2603</v>
      </c>
      <c r="B43" s="110">
        <v>455</v>
      </c>
      <c r="C43" s="10" t="s">
        <v>14</v>
      </c>
      <c r="D43" s="10" t="s">
        <v>66</v>
      </c>
      <c r="E43" s="10" t="s">
        <v>65</v>
      </c>
    </row>
    <row r="44" spans="1:5" x14ac:dyDescent="0.25">
      <c r="A44" s="109">
        <v>2603</v>
      </c>
      <c r="B44" s="110">
        <v>458</v>
      </c>
      <c r="C44" s="10" t="s">
        <v>14</v>
      </c>
      <c r="D44" s="10" t="s">
        <v>66</v>
      </c>
      <c r="E44" s="10" t="s">
        <v>65</v>
      </c>
    </row>
    <row r="45" spans="1:5" x14ac:dyDescent="0.25">
      <c r="A45" s="109">
        <v>104</v>
      </c>
      <c r="B45" s="110">
        <v>501</v>
      </c>
      <c r="C45" s="10" t="s">
        <v>14</v>
      </c>
      <c r="D45" s="10" t="s">
        <v>73</v>
      </c>
      <c r="E45" s="10" t="s">
        <v>74</v>
      </c>
    </row>
    <row r="46" spans="1:5" x14ac:dyDescent="0.25">
      <c r="A46" s="109">
        <v>104</v>
      </c>
      <c r="B46" s="110">
        <v>460</v>
      </c>
      <c r="C46" s="10" t="s">
        <v>24</v>
      </c>
      <c r="D46" s="10" t="s">
        <v>75</v>
      </c>
      <c r="E46" s="10"/>
    </row>
    <row r="47" spans="1:5" x14ac:dyDescent="0.25">
      <c r="A47" s="109">
        <v>104</v>
      </c>
      <c r="B47" s="110">
        <v>479</v>
      </c>
      <c r="C47" s="10" t="s">
        <v>14</v>
      </c>
      <c r="D47" s="10" t="s">
        <v>64</v>
      </c>
      <c r="E47" s="10"/>
    </row>
    <row r="48" spans="1:5" x14ac:dyDescent="0.25">
      <c r="A48" s="109">
        <v>104</v>
      </c>
      <c r="B48" s="110">
        <v>502</v>
      </c>
      <c r="C48" s="10" t="s">
        <v>14</v>
      </c>
      <c r="D48" s="10" t="s">
        <v>76</v>
      </c>
      <c r="E48" s="10"/>
    </row>
    <row r="49" spans="1:5" x14ac:dyDescent="0.25">
      <c r="A49" s="109">
        <v>104</v>
      </c>
      <c r="B49" s="110">
        <v>492</v>
      </c>
      <c r="C49" s="10" t="s">
        <v>26</v>
      </c>
      <c r="D49" s="10" t="s">
        <v>62</v>
      </c>
      <c r="E49" s="10"/>
    </row>
    <row r="50" spans="1:5" x14ac:dyDescent="0.25">
      <c r="A50" s="109">
        <v>104</v>
      </c>
      <c r="B50" s="110">
        <v>491</v>
      </c>
      <c r="C50" s="10" t="s">
        <v>26</v>
      </c>
      <c r="D50" s="10" t="s">
        <v>77</v>
      </c>
      <c r="E50" s="10"/>
    </row>
    <row r="51" spans="1:5" x14ac:dyDescent="0.25">
      <c r="A51" s="109">
        <v>104</v>
      </c>
      <c r="B51" s="110">
        <v>487</v>
      </c>
      <c r="C51" s="10" t="s">
        <v>14</v>
      </c>
      <c r="D51" s="10" t="s">
        <v>78</v>
      </c>
      <c r="E51" s="10" t="s">
        <v>79</v>
      </c>
    </row>
    <row r="52" spans="1:5" x14ac:dyDescent="0.25">
      <c r="A52" s="109">
        <v>104</v>
      </c>
      <c r="B52" s="110">
        <v>508</v>
      </c>
      <c r="C52" s="10" t="s">
        <v>26</v>
      </c>
      <c r="D52" s="10" t="s">
        <v>75</v>
      </c>
      <c r="E52" s="10"/>
    </row>
    <row r="53" spans="1:5" x14ac:dyDescent="0.25">
      <c r="A53" s="109">
        <v>104</v>
      </c>
      <c r="B53" s="110">
        <v>509</v>
      </c>
      <c r="C53" s="10" t="s">
        <v>14</v>
      </c>
      <c r="D53" s="10" t="s">
        <v>64</v>
      </c>
      <c r="E53" s="10"/>
    </row>
    <row r="54" spans="1:5" x14ac:dyDescent="0.25">
      <c r="A54" s="109">
        <v>104</v>
      </c>
      <c r="B54" s="110">
        <v>512</v>
      </c>
      <c r="C54" s="10" t="s">
        <v>14</v>
      </c>
      <c r="D54" s="10" t="s">
        <v>64</v>
      </c>
      <c r="E54" s="10"/>
    </row>
    <row r="55" spans="1:5" x14ac:dyDescent="0.25">
      <c r="A55" s="109">
        <v>104</v>
      </c>
      <c r="B55" s="110">
        <v>500</v>
      </c>
      <c r="C55" s="10" t="s">
        <v>38</v>
      </c>
      <c r="D55" s="10" t="s">
        <v>80</v>
      </c>
      <c r="E55" s="105"/>
    </row>
    <row r="56" spans="1:5" x14ac:dyDescent="0.25">
      <c r="A56" s="109">
        <v>104</v>
      </c>
      <c r="B56" s="110">
        <v>505</v>
      </c>
      <c r="C56" s="10" t="s">
        <v>38</v>
      </c>
      <c r="D56" s="10" t="s">
        <v>80</v>
      </c>
      <c r="E56" s="10"/>
    </row>
    <row r="57" spans="1:5" x14ac:dyDescent="0.25">
      <c r="A57" s="109">
        <v>204</v>
      </c>
      <c r="B57" s="110">
        <v>522</v>
      </c>
      <c r="C57" s="10" t="s">
        <v>26</v>
      </c>
      <c r="D57" s="10" t="s">
        <v>81</v>
      </c>
      <c r="E57" s="10"/>
    </row>
    <row r="58" spans="1:5" x14ac:dyDescent="0.25">
      <c r="A58" s="109">
        <v>404</v>
      </c>
      <c r="B58" s="110">
        <v>539</v>
      </c>
      <c r="C58" s="10" t="s">
        <v>14</v>
      </c>
      <c r="D58" s="10" t="s">
        <v>82</v>
      </c>
      <c r="E58" s="10"/>
    </row>
    <row r="59" spans="1:5" x14ac:dyDescent="0.25">
      <c r="A59" s="109">
        <v>404</v>
      </c>
      <c r="B59" s="110">
        <v>530</v>
      </c>
      <c r="C59" s="10" t="s">
        <v>12</v>
      </c>
      <c r="D59" s="10" t="s">
        <v>83</v>
      </c>
      <c r="E59" s="10"/>
    </row>
    <row r="60" spans="1:5" x14ac:dyDescent="0.25">
      <c r="A60" s="109">
        <v>904</v>
      </c>
      <c r="B60" s="110">
        <v>565</v>
      </c>
      <c r="C60" s="10" t="s">
        <v>8</v>
      </c>
      <c r="D60" s="10" t="s">
        <v>84</v>
      </c>
      <c r="E60" s="10"/>
    </row>
    <row r="61" spans="1:5" x14ac:dyDescent="0.25">
      <c r="A61" s="109">
        <v>1104</v>
      </c>
      <c r="B61" s="110">
        <v>562</v>
      </c>
      <c r="C61" s="10" t="s">
        <v>8</v>
      </c>
      <c r="D61" s="10" t="s">
        <v>55</v>
      </c>
      <c r="E61" s="10"/>
    </row>
    <row r="62" spans="1:5" x14ac:dyDescent="0.25">
      <c r="A62" s="109">
        <v>1104</v>
      </c>
      <c r="B62" s="110">
        <v>547</v>
      </c>
      <c r="C62" s="10" t="s">
        <v>14</v>
      </c>
      <c r="D62" s="10" t="s">
        <v>85</v>
      </c>
      <c r="E62" s="10"/>
    </row>
    <row r="63" spans="1:5" x14ac:dyDescent="0.25">
      <c r="A63" s="109">
        <v>1204</v>
      </c>
      <c r="B63" s="110">
        <v>560</v>
      </c>
      <c r="C63" s="10" t="s">
        <v>14</v>
      </c>
      <c r="D63" s="10" t="s">
        <v>86</v>
      </c>
      <c r="E63" s="10"/>
    </row>
    <row r="64" spans="1:5" x14ac:dyDescent="0.25">
      <c r="A64" s="109">
        <v>1204</v>
      </c>
      <c r="B64" s="110">
        <v>575</v>
      </c>
      <c r="C64" s="10" t="s">
        <v>24</v>
      </c>
      <c r="D64" s="10" t="s">
        <v>55</v>
      </c>
      <c r="E64" s="10"/>
    </row>
    <row r="65" spans="1:5" x14ac:dyDescent="0.25">
      <c r="A65" s="109">
        <v>1204</v>
      </c>
      <c r="B65" s="110">
        <v>584</v>
      </c>
      <c r="C65" s="10" t="s">
        <v>14</v>
      </c>
      <c r="D65" s="10" t="s">
        <v>87</v>
      </c>
      <c r="E65" s="10"/>
    </row>
    <row r="66" spans="1:5" x14ac:dyDescent="0.25">
      <c r="A66" s="109">
        <v>1204</v>
      </c>
      <c r="B66" s="110">
        <v>585</v>
      </c>
      <c r="C66" s="10" t="s">
        <v>26</v>
      </c>
      <c r="D66" s="10" t="s">
        <v>55</v>
      </c>
      <c r="E66" s="10"/>
    </row>
    <row r="67" spans="1:5" x14ac:dyDescent="0.25">
      <c r="A67" s="109">
        <v>1204</v>
      </c>
      <c r="B67" s="110">
        <v>586</v>
      </c>
      <c r="C67" s="10" t="s">
        <v>26</v>
      </c>
      <c r="D67" s="10" t="s">
        <v>55</v>
      </c>
      <c r="E67" s="10"/>
    </row>
    <row r="68" spans="1:5" x14ac:dyDescent="0.25">
      <c r="A68" s="109">
        <v>1204</v>
      </c>
      <c r="B68" s="110">
        <v>588</v>
      </c>
      <c r="C68" s="10" t="s">
        <v>24</v>
      </c>
      <c r="D68" s="10" t="s">
        <v>55</v>
      </c>
      <c r="E68" s="10"/>
    </row>
    <row r="69" spans="1:5" x14ac:dyDescent="0.25">
      <c r="A69" s="109">
        <v>1204</v>
      </c>
      <c r="B69" s="110">
        <v>589</v>
      </c>
      <c r="C69" s="10" t="s">
        <v>26</v>
      </c>
      <c r="D69" s="10" t="s">
        <v>88</v>
      </c>
      <c r="E69" s="10"/>
    </row>
    <row r="70" spans="1:5" x14ac:dyDescent="0.25">
      <c r="A70" s="109">
        <v>1504</v>
      </c>
      <c r="B70" s="110">
        <v>594</v>
      </c>
      <c r="C70" s="10" t="s">
        <v>14</v>
      </c>
      <c r="D70" s="10" t="s">
        <v>86</v>
      </c>
      <c r="E70" s="10"/>
    </row>
    <row r="71" spans="1:5" x14ac:dyDescent="0.25">
      <c r="A71" s="109">
        <v>1504</v>
      </c>
      <c r="B71" s="110">
        <v>593</v>
      </c>
      <c r="C71" s="10" t="s">
        <v>38</v>
      </c>
      <c r="D71" s="10" t="s">
        <v>62</v>
      </c>
      <c r="E71" s="10"/>
    </row>
    <row r="72" spans="1:5" x14ac:dyDescent="0.25">
      <c r="A72" s="109">
        <v>1504</v>
      </c>
      <c r="B72" s="110">
        <v>603</v>
      </c>
      <c r="C72" s="10" t="s">
        <v>89</v>
      </c>
      <c r="D72" s="10" t="s">
        <v>90</v>
      </c>
      <c r="E72" s="10"/>
    </row>
    <row r="73" spans="1:5" x14ac:dyDescent="0.25">
      <c r="A73" s="109">
        <v>1504</v>
      </c>
      <c r="B73" s="110">
        <v>604</v>
      </c>
      <c r="C73" s="10" t="s">
        <v>38</v>
      </c>
      <c r="D73" s="10" t="s">
        <v>62</v>
      </c>
      <c r="E73" s="10"/>
    </row>
    <row r="74" spans="1:5" x14ac:dyDescent="0.25">
      <c r="A74" s="109">
        <v>2304</v>
      </c>
      <c r="B74" s="110">
        <v>637</v>
      </c>
      <c r="C74" s="10" t="s">
        <v>89</v>
      </c>
      <c r="D74" s="10" t="s">
        <v>91</v>
      </c>
      <c r="E74" s="10"/>
    </row>
    <row r="75" spans="1:5" x14ac:dyDescent="0.25">
      <c r="A75" s="109">
        <v>2304</v>
      </c>
      <c r="B75" s="110">
        <v>638</v>
      </c>
      <c r="C75" s="10" t="s">
        <v>89</v>
      </c>
      <c r="D75" s="10" t="s">
        <v>92</v>
      </c>
      <c r="E75" s="10"/>
    </row>
    <row r="76" spans="1:5" x14ac:dyDescent="0.25">
      <c r="A76" s="109">
        <v>2304</v>
      </c>
      <c r="B76" s="110">
        <v>639</v>
      </c>
      <c r="C76" s="10" t="s">
        <v>89</v>
      </c>
      <c r="D76" s="10" t="s">
        <v>93</v>
      </c>
      <c r="E76" s="10"/>
    </row>
    <row r="77" spans="1:5" x14ac:dyDescent="0.25">
      <c r="A77" s="109">
        <v>2304</v>
      </c>
      <c r="B77" s="110">
        <v>640</v>
      </c>
      <c r="C77" s="10" t="s">
        <v>89</v>
      </c>
      <c r="D77" s="10" t="s">
        <v>94</v>
      </c>
      <c r="E77" s="10"/>
    </row>
    <row r="78" spans="1:5" x14ac:dyDescent="0.25">
      <c r="A78" s="109">
        <v>2504</v>
      </c>
      <c r="B78" s="110">
        <v>643</v>
      </c>
      <c r="C78" s="10" t="s">
        <v>89</v>
      </c>
      <c r="D78" s="10" t="s">
        <v>95</v>
      </c>
      <c r="E78" s="10"/>
    </row>
    <row r="79" spans="1:5" x14ac:dyDescent="0.25">
      <c r="A79" s="109">
        <v>2504</v>
      </c>
      <c r="B79" s="110">
        <v>651</v>
      </c>
      <c r="C79" s="10" t="s">
        <v>8</v>
      </c>
      <c r="D79" s="10" t="s">
        <v>96</v>
      </c>
      <c r="E79" s="10"/>
    </row>
    <row r="80" spans="1:5" x14ac:dyDescent="0.25">
      <c r="A80" s="109">
        <v>2504</v>
      </c>
      <c r="B80" s="110">
        <v>657</v>
      </c>
      <c r="C80" s="10" t="s">
        <v>38</v>
      </c>
      <c r="D80" s="10" t="s">
        <v>97</v>
      </c>
      <c r="E80" s="10" t="s">
        <v>98</v>
      </c>
    </row>
    <row r="81" spans="1:5" x14ac:dyDescent="0.25">
      <c r="A81" s="109">
        <v>2604</v>
      </c>
      <c r="B81" s="110">
        <v>667</v>
      </c>
      <c r="C81" s="10" t="s">
        <v>89</v>
      </c>
      <c r="D81" s="10" t="s">
        <v>99</v>
      </c>
      <c r="E81" s="10"/>
    </row>
    <row r="82" spans="1:5" x14ac:dyDescent="0.25">
      <c r="A82" s="109">
        <v>2904</v>
      </c>
      <c r="B82" s="110">
        <v>673</v>
      </c>
      <c r="C82" s="10" t="s">
        <v>14</v>
      </c>
      <c r="D82" s="10" t="s">
        <v>100</v>
      </c>
      <c r="E82" s="10"/>
    </row>
    <row r="83" spans="1:5" x14ac:dyDescent="0.25">
      <c r="A83" s="109">
        <v>2904</v>
      </c>
      <c r="B83" s="110">
        <v>674</v>
      </c>
      <c r="C83" s="10" t="s">
        <v>14</v>
      </c>
      <c r="D83" s="10" t="s">
        <v>100</v>
      </c>
      <c r="E83" s="10"/>
    </row>
    <row r="84" spans="1:5" x14ac:dyDescent="0.25">
      <c r="A84" s="109">
        <v>2904</v>
      </c>
      <c r="B84" s="110">
        <v>675</v>
      </c>
      <c r="C84" s="10" t="s">
        <v>14</v>
      </c>
      <c r="D84" s="10" t="s">
        <v>100</v>
      </c>
      <c r="E84" s="10"/>
    </row>
    <row r="85" spans="1:5" x14ac:dyDescent="0.25">
      <c r="A85" s="109">
        <v>2904</v>
      </c>
      <c r="B85" s="110">
        <v>676</v>
      </c>
      <c r="C85" s="10" t="s">
        <v>14</v>
      </c>
      <c r="D85" s="10" t="s">
        <v>100</v>
      </c>
      <c r="E85" s="10"/>
    </row>
    <row r="86" spans="1:5" x14ac:dyDescent="0.25">
      <c r="A86" s="109">
        <v>2904</v>
      </c>
      <c r="B86" s="110">
        <v>684</v>
      </c>
      <c r="C86" s="10" t="s">
        <v>101</v>
      </c>
      <c r="D86" s="10" t="s">
        <v>102</v>
      </c>
      <c r="E86" s="10"/>
    </row>
    <row r="87" spans="1:5" x14ac:dyDescent="0.25">
      <c r="A87" s="109">
        <v>2904</v>
      </c>
      <c r="B87" s="110">
        <v>686</v>
      </c>
      <c r="C87" s="10" t="s">
        <v>101</v>
      </c>
      <c r="D87" s="10" t="s">
        <v>103</v>
      </c>
      <c r="E87" s="10"/>
    </row>
    <row r="88" spans="1:5" x14ac:dyDescent="0.25">
      <c r="A88" s="109">
        <v>2904</v>
      </c>
      <c r="B88" s="110">
        <v>687</v>
      </c>
      <c r="C88" s="10" t="s">
        <v>101</v>
      </c>
      <c r="D88" s="10" t="s">
        <v>104</v>
      </c>
      <c r="E88" s="10"/>
    </row>
    <row r="89" spans="1:5" x14ac:dyDescent="0.25">
      <c r="A89" s="109">
        <v>2904</v>
      </c>
      <c r="B89" s="110">
        <v>689</v>
      </c>
      <c r="C89" s="10" t="s">
        <v>101</v>
      </c>
      <c r="D89" s="10" t="s">
        <v>105</v>
      </c>
      <c r="E89" s="10" t="s">
        <v>106</v>
      </c>
    </row>
    <row r="90" spans="1:5" x14ac:dyDescent="0.25">
      <c r="A90" s="109">
        <v>2904</v>
      </c>
      <c r="B90" s="110">
        <v>680</v>
      </c>
      <c r="C90" s="10" t="s">
        <v>38</v>
      </c>
      <c r="D90" s="10" t="s">
        <v>107</v>
      </c>
      <c r="E90" s="10"/>
    </row>
    <row r="91" spans="1:5" x14ac:dyDescent="0.25">
      <c r="A91" s="109">
        <v>3004</v>
      </c>
      <c r="B91" s="110">
        <v>701</v>
      </c>
      <c r="C91" s="10" t="s">
        <v>24</v>
      </c>
      <c r="D91" s="10" t="s">
        <v>108</v>
      </c>
      <c r="E91" s="10"/>
    </row>
    <row r="92" spans="1:5" x14ac:dyDescent="0.25">
      <c r="A92" s="109">
        <v>1005</v>
      </c>
      <c r="B92" s="110">
        <v>755</v>
      </c>
      <c r="C92" s="10" t="s">
        <v>89</v>
      </c>
      <c r="D92" s="10" t="s">
        <v>109</v>
      </c>
      <c r="E92" s="10"/>
    </row>
    <row r="93" spans="1:5" x14ac:dyDescent="0.25">
      <c r="A93" s="109">
        <v>2405</v>
      </c>
      <c r="B93" s="110">
        <v>794</v>
      </c>
      <c r="C93" s="10" t="s">
        <v>24</v>
      </c>
      <c r="D93" s="10" t="s">
        <v>110</v>
      </c>
      <c r="E93" s="10"/>
    </row>
    <row r="94" spans="1:5" x14ac:dyDescent="0.25">
      <c r="A94" s="109">
        <v>2905</v>
      </c>
      <c r="B94" s="110">
        <v>803</v>
      </c>
      <c r="C94" s="10" t="s">
        <v>26</v>
      </c>
      <c r="D94" s="10" t="s">
        <v>111</v>
      </c>
      <c r="E94" s="10"/>
    </row>
    <row r="95" spans="1:5" x14ac:dyDescent="0.25">
      <c r="A95" s="109">
        <v>1706</v>
      </c>
      <c r="B95" s="110">
        <v>841</v>
      </c>
      <c r="C95" s="10" t="s">
        <v>14</v>
      </c>
      <c r="D95" s="10" t="s">
        <v>112</v>
      </c>
      <c r="E95" s="10" t="s">
        <v>113</v>
      </c>
    </row>
    <row r="96" spans="1:5" x14ac:dyDescent="0.25">
      <c r="A96" s="109">
        <v>1706</v>
      </c>
      <c r="B96" s="110">
        <v>842</v>
      </c>
      <c r="C96" s="10" t="s">
        <v>14</v>
      </c>
      <c r="D96" s="10" t="s">
        <v>112</v>
      </c>
      <c r="E96" s="10" t="s">
        <v>113</v>
      </c>
    </row>
    <row r="97" spans="1:5" x14ac:dyDescent="0.25">
      <c r="A97" s="109">
        <v>1706</v>
      </c>
      <c r="B97" s="110">
        <v>843</v>
      </c>
      <c r="C97" s="10" t="s">
        <v>14</v>
      </c>
      <c r="D97" s="10" t="s">
        <v>112</v>
      </c>
      <c r="E97" s="10" t="s">
        <v>114</v>
      </c>
    </row>
    <row r="98" spans="1:5" x14ac:dyDescent="0.25">
      <c r="A98" s="109">
        <v>1706</v>
      </c>
      <c r="B98" s="110">
        <v>844</v>
      </c>
      <c r="C98" s="10" t="s">
        <v>14</v>
      </c>
      <c r="D98" s="10" t="s">
        <v>112</v>
      </c>
      <c r="E98" s="10" t="s">
        <v>113</v>
      </c>
    </row>
    <row r="99" spans="1:5" x14ac:dyDescent="0.25">
      <c r="A99" s="109">
        <v>1007</v>
      </c>
      <c r="B99" s="110">
        <v>891</v>
      </c>
      <c r="C99" s="10" t="s">
        <v>8</v>
      </c>
      <c r="D99" s="10" t="s">
        <v>115</v>
      </c>
      <c r="E99" s="10"/>
    </row>
    <row r="100" spans="1:5" x14ac:dyDescent="0.25">
      <c r="A100" s="109">
        <v>2709</v>
      </c>
      <c r="B100" s="110">
        <v>1064</v>
      </c>
      <c r="C100" s="10" t="s">
        <v>14</v>
      </c>
      <c r="D100" s="10" t="s">
        <v>37</v>
      </c>
      <c r="E100" s="10"/>
    </row>
    <row r="101" spans="1:5" x14ac:dyDescent="0.25">
      <c r="A101" s="109">
        <v>410</v>
      </c>
      <c r="B101" s="110">
        <v>1072</v>
      </c>
      <c r="C101" s="10" t="s">
        <v>8</v>
      </c>
      <c r="D101" s="10" t="s">
        <v>116</v>
      </c>
      <c r="E101" s="10"/>
    </row>
    <row r="102" spans="1:5" x14ac:dyDescent="0.25">
      <c r="A102" s="109">
        <v>410</v>
      </c>
      <c r="B102" s="110">
        <v>1073</v>
      </c>
      <c r="C102" s="10" t="s">
        <v>8</v>
      </c>
      <c r="D102" s="10" t="s">
        <v>117</v>
      </c>
      <c r="E102" s="10"/>
    </row>
    <row r="103" spans="1:5" x14ac:dyDescent="0.25">
      <c r="A103" s="109"/>
      <c r="B103" s="110"/>
      <c r="C103" s="120"/>
      <c r="D103" s="10"/>
      <c r="E103" s="10"/>
    </row>
    <row r="104" spans="1:5" x14ac:dyDescent="0.25">
      <c r="A104" s="109"/>
      <c r="B104" s="110"/>
      <c r="C104" s="120"/>
      <c r="D104" s="10"/>
      <c r="E104" s="10"/>
    </row>
    <row r="105" spans="1:5" x14ac:dyDescent="0.25">
      <c r="A105" s="109"/>
      <c r="B105" s="110"/>
      <c r="C105" s="120"/>
      <c r="D105" s="10"/>
      <c r="E105" s="10"/>
    </row>
    <row r="106" spans="1:5" x14ac:dyDescent="0.25">
      <c r="A106" s="109"/>
      <c r="B106" s="110"/>
      <c r="C106" s="120"/>
      <c r="D106" s="10"/>
      <c r="E106" s="10"/>
    </row>
    <row r="107" spans="1:5" x14ac:dyDescent="0.25">
      <c r="A107" s="109"/>
      <c r="B107" s="110"/>
      <c r="C107" s="120"/>
      <c r="D107" s="10"/>
      <c r="E107" s="10"/>
    </row>
    <row r="108" spans="1:5" x14ac:dyDescent="0.25">
      <c r="C108" s="106"/>
    </row>
    <row r="109" spans="1:5" x14ac:dyDescent="0.25">
      <c r="C109" s="106"/>
    </row>
    <row r="110" spans="1:5" x14ac:dyDescent="0.25">
      <c r="C110" s="106"/>
    </row>
    <row r="111" spans="1:5" x14ac:dyDescent="0.25">
      <c r="C111" s="106"/>
    </row>
  </sheetData>
  <mergeCells count="1">
    <mergeCell ref="A1:E1"/>
  </mergeCell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25" sqref="A25:C25"/>
    </sheetView>
  </sheetViews>
  <sheetFormatPr defaultRowHeight="15" x14ac:dyDescent="0.25"/>
  <cols>
    <col min="1" max="1" width="10.7109375" customWidth="1"/>
    <col min="2" max="2" width="14.140625" customWidth="1"/>
    <col min="3" max="3" width="48.42578125" customWidth="1"/>
    <col min="4" max="4" width="15.28515625" customWidth="1"/>
    <col min="5" max="5" width="2.140625" customWidth="1"/>
    <col min="6" max="6" width="11.5703125" customWidth="1"/>
    <col min="7" max="7" width="15.140625" customWidth="1"/>
    <col min="8" max="8" width="50" customWidth="1"/>
    <col min="9" max="9" width="12.140625" customWidth="1"/>
    <col min="10" max="10" width="4.140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828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Geral!D24</f>
        <v>5756.6111000000001</v>
      </c>
      <c r="F6" s="211" t="s">
        <v>687</v>
      </c>
      <c r="G6" s="212"/>
      <c r="H6" s="14" t="s">
        <v>582</v>
      </c>
      <c r="I6" s="24">
        <f>Geral!E24</f>
        <v>0</v>
      </c>
      <c r="K6" s="230" t="s">
        <v>688</v>
      </c>
      <c r="L6" s="230"/>
      <c r="M6" s="4" t="s">
        <v>582</v>
      </c>
      <c r="N6" s="24">
        <f>Geral!F24</f>
        <v>0</v>
      </c>
    </row>
    <row r="7" spans="1:14" ht="15" customHeight="1" x14ac:dyDescent="0.25">
      <c r="A7" s="230"/>
      <c r="B7" s="230"/>
      <c r="C7" s="3" t="s">
        <v>583</v>
      </c>
      <c r="D7" s="24">
        <f>SUM(D10:D34)</f>
        <v>5756.6100000000006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1.0999999994965037E-3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6"/>
      <c r="C10" s="7" t="s">
        <v>724</v>
      </c>
      <c r="D10" s="24">
        <v>100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43538</v>
      </c>
      <c r="B11" s="6"/>
      <c r="C11" s="7" t="s">
        <v>829</v>
      </c>
      <c r="D11" s="24">
        <v>66.569999999999993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43544</v>
      </c>
      <c r="B12" s="6"/>
      <c r="C12" s="7" t="s">
        <v>726</v>
      </c>
      <c r="D12" s="24">
        <v>350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43578</v>
      </c>
      <c r="B13" s="6"/>
      <c r="C13" s="7" t="s">
        <v>727</v>
      </c>
      <c r="D13" s="24">
        <v>350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43609</v>
      </c>
      <c r="B14" s="6"/>
      <c r="C14" s="7" t="s">
        <v>729</v>
      </c>
      <c r="D14" s="24">
        <v>350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43612</v>
      </c>
      <c r="B15" s="6"/>
      <c r="C15" s="7" t="s">
        <v>830</v>
      </c>
      <c r="D15" s="24">
        <v>98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43627</v>
      </c>
      <c r="B16" s="6"/>
      <c r="C16" s="7" t="s">
        <v>692</v>
      </c>
      <c r="D16" s="24">
        <v>-212.72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43640</v>
      </c>
      <c r="B17" s="6"/>
      <c r="C17" s="7" t="s">
        <v>706</v>
      </c>
      <c r="D17" s="24">
        <v>350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>
        <v>43658</v>
      </c>
      <c r="B18" s="6" t="s">
        <v>831</v>
      </c>
      <c r="C18" s="76" t="s">
        <v>442</v>
      </c>
      <c r="D18" s="79">
        <v>850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43662</v>
      </c>
      <c r="B19" s="6"/>
      <c r="C19" s="7" t="s">
        <v>708</v>
      </c>
      <c r="D19" s="24">
        <v>350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43691</v>
      </c>
      <c r="B20" s="71"/>
      <c r="C20" s="10" t="s">
        <v>832</v>
      </c>
      <c r="D20" s="23">
        <v>50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43693</v>
      </c>
      <c r="B21" s="6"/>
      <c r="C21" s="7" t="s">
        <v>833</v>
      </c>
      <c r="D21" s="24">
        <v>416.13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43699</v>
      </c>
      <c r="B22" s="6"/>
      <c r="C22" s="7" t="s">
        <v>733</v>
      </c>
      <c r="D22" s="24">
        <v>340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43726</v>
      </c>
      <c r="B23" s="95"/>
      <c r="C23" s="7" t="s">
        <v>710</v>
      </c>
      <c r="D23" s="23">
        <v>200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43732</v>
      </c>
      <c r="B24" s="6"/>
      <c r="C24" s="7" t="s">
        <v>734</v>
      </c>
      <c r="D24" s="24">
        <v>350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43759</v>
      </c>
      <c r="B25" s="6"/>
      <c r="C25" s="7" t="s">
        <v>701</v>
      </c>
      <c r="D25" s="24">
        <v>1748.63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68"/>
      <c r="B26" s="71"/>
      <c r="C26" s="10"/>
      <c r="D26" s="23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/>
      <c r="B33" s="6"/>
      <c r="C33" s="7"/>
      <c r="D33" s="24"/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5"/>
      <c r="B34" s="6"/>
      <c r="C34" s="7"/>
      <c r="D34" s="24"/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D35" s="1"/>
    </row>
    <row r="36" spans="1:14" x14ac:dyDescent="0.25">
      <c r="D36" s="1"/>
    </row>
    <row r="37" spans="1:14" ht="15.75" x14ac:dyDescent="0.25">
      <c r="B37" s="16"/>
      <c r="C37" s="19" t="s">
        <v>834</v>
      </c>
      <c r="D37" s="42">
        <v>919</v>
      </c>
    </row>
    <row r="38" spans="1:14" ht="15.75" x14ac:dyDescent="0.25">
      <c r="B38" s="107">
        <v>306</v>
      </c>
      <c r="C38" s="17" t="s">
        <v>835</v>
      </c>
      <c r="D38" s="42">
        <f>220+201.06</f>
        <v>421.06</v>
      </c>
    </row>
    <row r="39" spans="1:14" ht="15.75" x14ac:dyDescent="0.25">
      <c r="B39" s="107">
        <v>1608</v>
      </c>
      <c r="C39" s="17" t="s">
        <v>836</v>
      </c>
      <c r="D39" s="42">
        <v>211.99</v>
      </c>
    </row>
    <row r="40" spans="1:14" ht="15.75" x14ac:dyDescent="0.25">
      <c r="B40" s="107">
        <v>1608</v>
      </c>
      <c r="C40" s="17" t="s">
        <v>837</v>
      </c>
      <c r="D40" s="42">
        <v>702.08</v>
      </c>
    </row>
    <row r="41" spans="1:14" ht="15.75" x14ac:dyDescent="0.25">
      <c r="B41" s="107">
        <v>1608</v>
      </c>
      <c r="C41" s="17" t="s">
        <v>838</v>
      </c>
      <c r="D41" s="42">
        <v>-416.13</v>
      </c>
    </row>
    <row r="42" spans="1:14" ht="15.75" x14ac:dyDescent="0.25">
      <c r="B42" s="72"/>
      <c r="C42" s="17"/>
      <c r="D42" s="42"/>
    </row>
    <row r="43" spans="1:14" x14ac:dyDescent="0.25">
      <c r="B43" s="5"/>
      <c r="C43" s="7"/>
      <c r="D43" s="24"/>
    </row>
    <row r="44" spans="1:14" x14ac:dyDescent="0.25">
      <c r="B44" s="5"/>
      <c r="C44" s="7"/>
      <c r="D44" s="24"/>
    </row>
    <row r="45" spans="1:14" ht="15.75" x14ac:dyDescent="0.25">
      <c r="B45" s="16"/>
      <c r="C45" s="17" t="s">
        <v>703</v>
      </c>
      <c r="D45" s="43">
        <f>D37-SUM(D38:D44)</f>
        <v>0</v>
      </c>
    </row>
    <row r="46" spans="1:14" x14ac:dyDescent="0.25">
      <c r="D46" s="1"/>
    </row>
    <row r="47" spans="1:14" x14ac:dyDescent="0.25">
      <c r="A47" s="232" t="s">
        <v>718</v>
      </c>
      <c r="B47" s="232"/>
      <c r="C47" s="232"/>
      <c r="D47" s="148">
        <f>D23</f>
        <v>200</v>
      </c>
    </row>
    <row r="48" spans="1:14" x14ac:dyDescent="0.25">
      <c r="A48" s="149"/>
      <c r="B48" s="150">
        <v>43747</v>
      </c>
      <c r="C48" s="149" t="s">
        <v>839</v>
      </c>
      <c r="D48" s="23">
        <v>197.27</v>
      </c>
    </row>
    <row r="49" spans="1:4" x14ac:dyDescent="0.25">
      <c r="A49" s="10"/>
      <c r="B49" s="147"/>
      <c r="C49" s="10"/>
      <c r="D49" s="23"/>
    </row>
    <row r="50" spans="1:4" x14ac:dyDescent="0.25">
      <c r="A50" s="10"/>
      <c r="B50" s="147"/>
      <c r="C50" s="10"/>
      <c r="D50" s="23"/>
    </row>
    <row r="51" spans="1:4" x14ac:dyDescent="0.25">
      <c r="A51" s="10"/>
      <c r="B51" s="147"/>
      <c r="C51" s="10"/>
      <c r="D51" s="23"/>
    </row>
    <row r="52" spans="1:4" x14ac:dyDescent="0.25">
      <c r="A52" s="10"/>
      <c r="B52" s="147"/>
      <c r="C52" s="10"/>
      <c r="D52" s="23"/>
    </row>
    <row r="53" spans="1:4" x14ac:dyDescent="0.25">
      <c r="A53" s="10"/>
      <c r="B53" s="147"/>
      <c r="C53" s="10"/>
      <c r="D53" s="23"/>
    </row>
    <row r="54" spans="1:4" x14ac:dyDescent="0.25">
      <c r="A54" s="10"/>
      <c r="B54" s="147"/>
      <c r="C54" s="10"/>
      <c r="D54" s="23"/>
    </row>
    <row r="55" spans="1:4" x14ac:dyDescent="0.25">
      <c r="A55" s="10"/>
      <c r="B55" s="147"/>
      <c r="C55" s="10"/>
      <c r="D55" s="23"/>
    </row>
    <row r="56" spans="1:4" x14ac:dyDescent="0.25">
      <c r="A56" s="10"/>
      <c r="B56" s="147"/>
      <c r="C56" s="10"/>
      <c r="D56" s="23"/>
    </row>
    <row r="57" spans="1:4" x14ac:dyDescent="0.25">
      <c r="A57" s="151"/>
      <c r="B57" s="152"/>
      <c r="C57" s="151"/>
      <c r="D57" s="23"/>
    </row>
    <row r="58" spans="1:4" x14ac:dyDescent="0.25">
      <c r="A58" s="232" t="s">
        <v>703</v>
      </c>
      <c r="B58" s="232"/>
      <c r="C58" s="232"/>
      <c r="D58" s="148">
        <f>D47-SUM(D48:D57)</f>
        <v>2.7299999999999898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47:C47"/>
    <mergeCell ref="A58:C58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68.5703125" customWidth="1"/>
    <col min="4" max="4" width="13.425781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2.140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840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Geral!D25</f>
        <v>5756.6111000000001</v>
      </c>
      <c r="F6" s="211" t="s">
        <v>687</v>
      </c>
      <c r="G6" s="212"/>
      <c r="H6" s="14" t="s">
        <v>582</v>
      </c>
      <c r="I6" s="24">
        <f>Geral!E25</f>
        <v>0</v>
      </c>
      <c r="K6" s="230" t="s">
        <v>688</v>
      </c>
      <c r="L6" s="230"/>
      <c r="M6" s="4" t="s">
        <v>582</v>
      </c>
      <c r="N6" s="24">
        <f>Geral!F25</f>
        <v>0</v>
      </c>
    </row>
    <row r="7" spans="1:14" ht="15" customHeight="1" x14ac:dyDescent="0.25">
      <c r="A7" s="230"/>
      <c r="B7" s="230"/>
      <c r="C7" s="3" t="s">
        <v>583</v>
      </c>
      <c r="D7" s="24">
        <f>SUM(D10:D32)</f>
        <v>5756.6100000000006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1.0999999994965037E-3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43572</v>
      </c>
      <c r="B10" s="6" t="s">
        <v>841</v>
      </c>
      <c r="C10" s="76" t="s">
        <v>312</v>
      </c>
      <c r="D10" s="79">
        <v>130</v>
      </c>
      <c r="F10" s="5">
        <v>43614</v>
      </c>
      <c r="G10" s="6" t="s">
        <v>842</v>
      </c>
      <c r="H10" s="7" t="s">
        <v>843</v>
      </c>
      <c r="I10" s="24">
        <f>593.04+962.47</f>
        <v>1555.51</v>
      </c>
      <c r="K10" s="8"/>
      <c r="L10" s="6"/>
      <c r="M10" s="7"/>
      <c r="N10" s="24"/>
    </row>
    <row r="11" spans="1:14" x14ac:dyDescent="0.25">
      <c r="A11" s="5">
        <v>43572</v>
      </c>
      <c r="B11" s="6" t="s">
        <v>844</v>
      </c>
      <c r="C11" s="76" t="s">
        <v>314</v>
      </c>
      <c r="D11" s="79">
        <v>200</v>
      </c>
      <c r="F11" s="5">
        <v>43614</v>
      </c>
      <c r="G11" s="6"/>
      <c r="H11" s="7" t="s">
        <v>845</v>
      </c>
      <c r="I11" s="24">
        <v>-1555.51</v>
      </c>
      <c r="K11" s="8"/>
      <c r="L11" s="6"/>
      <c r="M11" s="7"/>
      <c r="N11" s="24"/>
    </row>
    <row r="12" spans="1:14" x14ac:dyDescent="0.25">
      <c r="A12" s="5">
        <v>43599</v>
      </c>
      <c r="B12" s="6" t="s">
        <v>846</v>
      </c>
      <c r="C12" s="76" t="s">
        <v>347</v>
      </c>
      <c r="D12" s="79">
        <v>1039.25</v>
      </c>
      <c r="F12" s="5">
        <v>43682</v>
      </c>
      <c r="G12" s="6"/>
      <c r="H12" s="7" t="s">
        <v>847</v>
      </c>
      <c r="I12" s="24">
        <v>181.83</v>
      </c>
      <c r="K12" s="8"/>
      <c r="L12" s="6"/>
      <c r="M12" s="7"/>
      <c r="N12" s="24"/>
    </row>
    <row r="13" spans="1:14" x14ac:dyDescent="0.25">
      <c r="A13" s="5">
        <v>43612</v>
      </c>
      <c r="B13" s="6"/>
      <c r="C13" s="7" t="s">
        <v>848</v>
      </c>
      <c r="D13" s="24">
        <v>35</v>
      </c>
      <c r="F13" s="5">
        <v>43682</v>
      </c>
      <c r="G13" s="9"/>
      <c r="H13" s="7" t="s">
        <v>845</v>
      </c>
      <c r="I13" s="23">
        <v>-181.83</v>
      </c>
      <c r="K13" s="8"/>
      <c r="L13" s="6"/>
      <c r="M13" s="7"/>
      <c r="N13" s="24"/>
    </row>
    <row r="14" spans="1:14" x14ac:dyDescent="0.25">
      <c r="A14" s="5">
        <v>43614</v>
      </c>
      <c r="B14" s="6"/>
      <c r="C14" s="7" t="s">
        <v>849</v>
      </c>
      <c r="D14" s="24">
        <v>1555.51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43616</v>
      </c>
      <c r="B15" s="6" t="s">
        <v>850</v>
      </c>
      <c r="C15" s="76" t="s">
        <v>361</v>
      </c>
      <c r="D15" s="79">
        <v>358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43627</v>
      </c>
      <c r="B16" s="6"/>
      <c r="C16" s="7" t="s">
        <v>692</v>
      </c>
      <c r="D16" s="24">
        <v>-536.55999999999995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43627</v>
      </c>
      <c r="B17" s="71"/>
      <c r="C17" s="10" t="s">
        <v>851</v>
      </c>
      <c r="D17" s="23">
        <v>14.2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43759</v>
      </c>
      <c r="B18" s="6"/>
      <c r="C18" s="7" t="s">
        <v>701</v>
      </c>
      <c r="D18" s="23">
        <v>2961.21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68"/>
      <c r="B25" s="71"/>
      <c r="C25" s="10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2:14" x14ac:dyDescent="0.25">
      <c r="D33" s="1"/>
      <c r="N33" s="1"/>
    </row>
    <row r="34" spans="2:14" ht="15.75" x14ac:dyDescent="0.25">
      <c r="B34" s="16"/>
      <c r="C34" s="19" t="s">
        <v>795</v>
      </c>
      <c r="D34" s="42">
        <v>498.16</v>
      </c>
    </row>
    <row r="35" spans="2:14" ht="15.75" x14ac:dyDescent="0.25">
      <c r="B35" s="21"/>
      <c r="C35" s="17"/>
      <c r="D35" s="42"/>
    </row>
    <row r="36" spans="2:14" ht="15.75" x14ac:dyDescent="0.25">
      <c r="B36" s="21"/>
      <c r="C36" s="17"/>
      <c r="D36" s="42"/>
    </row>
    <row r="37" spans="2:14" ht="15.75" x14ac:dyDescent="0.25">
      <c r="B37" s="21"/>
      <c r="C37" s="17"/>
      <c r="D37" s="42"/>
    </row>
    <row r="38" spans="2:14" ht="15.75" x14ac:dyDescent="0.25">
      <c r="B38" s="21"/>
      <c r="C38" s="17"/>
      <c r="D38" s="42"/>
    </row>
    <row r="39" spans="2:14" ht="15.75" x14ac:dyDescent="0.25">
      <c r="B39" s="21"/>
      <c r="C39" s="7"/>
      <c r="D39" s="42"/>
    </row>
    <row r="40" spans="2:14" ht="15.75" x14ac:dyDescent="0.25">
      <c r="B40" s="5"/>
      <c r="C40" s="7"/>
      <c r="D40" s="42"/>
    </row>
    <row r="41" spans="2:14" ht="15.75" x14ac:dyDescent="0.25">
      <c r="B41" s="16"/>
      <c r="C41" s="17" t="s">
        <v>703</v>
      </c>
      <c r="D41" s="43">
        <f>D34-SUM(D35:D39)+D40</f>
        <v>498.16</v>
      </c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15" sqref="A15:C1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852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Geral!D26</f>
        <v>5756.6111000000001</v>
      </c>
      <c r="F6" s="211" t="s">
        <v>687</v>
      </c>
      <c r="G6" s="212"/>
      <c r="H6" s="14" t="s">
        <v>582</v>
      </c>
      <c r="I6" s="24">
        <f>Geral!E26</f>
        <v>0</v>
      </c>
      <c r="K6" s="230" t="s">
        <v>688</v>
      </c>
      <c r="L6" s="230"/>
      <c r="M6" s="4" t="s">
        <v>582</v>
      </c>
      <c r="N6" s="24">
        <f>Geral!F26</f>
        <v>0</v>
      </c>
    </row>
    <row r="7" spans="1:14" ht="15" customHeight="1" x14ac:dyDescent="0.25">
      <c r="A7" s="230"/>
      <c r="B7" s="230"/>
      <c r="C7" s="3" t="s">
        <v>583</v>
      </c>
      <c r="D7" s="24">
        <f>SUM(D10:D32)</f>
        <v>5756.6100000000006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1.0999999994965037E-3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43514</v>
      </c>
      <c r="B10" s="6"/>
      <c r="C10" s="7" t="s">
        <v>853</v>
      </c>
      <c r="D10" s="24">
        <v>500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43515</v>
      </c>
      <c r="B11" s="6"/>
      <c r="C11" s="7" t="s">
        <v>854</v>
      </c>
      <c r="D11" s="24">
        <v>175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43601</v>
      </c>
      <c r="B12" s="6"/>
      <c r="C12" s="7" t="s">
        <v>855</v>
      </c>
      <c r="D12" s="24">
        <v>2.7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43613</v>
      </c>
      <c r="B13" s="6"/>
      <c r="C13" s="7" t="s">
        <v>692</v>
      </c>
      <c r="D13" s="24">
        <v>-21.9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43726</v>
      </c>
      <c r="B14" s="95"/>
      <c r="C14" s="7" t="s">
        <v>710</v>
      </c>
      <c r="D14" s="23">
        <v>500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43759</v>
      </c>
      <c r="B15" s="6"/>
      <c r="C15" s="7" t="s">
        <v>701</v>
      </c>
      <c r="D15" s="24">
        <v>4600.8100000000004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/>
      <c r="B16" s="6"/>
      <c r="C16" s="7"/>
      <c r="D16" s="24"/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/>
      <c r="B17" s="6"/>
      <c r="C17" s="7"/>
      <c r="D17" s="24"/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68"/>
      <c r="B20" s="71"/>
      <c r="C20" s="10"/>
      <c r="D20" s="23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68"/>
      <c r="B22" s="71"/>
      <c r="C22" s="10"/>
      <c r="D22" s="23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68"/>
      <c r="B24" s="71"/>
      <c r="C24" s="10"/>
      <c r="D24" s="23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4" spans="1:4" x14ac:dyDescent="0.25">
      <c r="A34" s="232" t="s">
        <v>718</v>
      </c>
      <c r="B34" s="232"/>
      <c r="C34" s="232"/>
      <c r="D34" s="148">
        <f>D14</f>
        <v>500</v>
      </c>
    </row>
    <row r="35" spans="1:4" x14ac:dyDescent="0.25">
      <c r="A35" s="149"/>
      <c r="B35" s="150"/>
      <c r="C35" s="149"/>
      <c r="D35" s="23"/>
    </row>
    <row r="36" spans="1:4" x14ac:dyDescent="0.25">
      <c r="A36" s="10"/>
      <c r="B36" s="147"/>
      <c r="C36" s="10"/>
      <c r="D36" s="23"/>
    </row>
    <row r="37" spans="1:4" x14ac:dyDescent="0.25">
      <c r="A37" s="10"/>
      <c r="B37" s="147"/>
      <c r="C37" s="10"/>
      <c r="D37" s="23"/>
    </row>
    <row r="38" spans="1:4" x14ac:dyDescent="0.25">
      <c r="A38" s="10"/>
      <c r="B38" s="147"/>
      <c r="C38" s="10"/>
      <c r="D38" s="23"/>
    </row>
    <row r="39" spans="1:4" x14ac:dyDescent="0.25">
      <c r="A39" s="10"/>
      <c r="B39" s="147"/>
      <c r="C39" s="10"/>
      <c r="D39" s="23"/>
    </row>
    <row r="40" spans="1:4" x14ac:dyDescent="0.25">
      <c r="A40" s="10"/>
      <c r="B40" s="147"/>
      <c r="C40" s="10"/>
      <c r="D40" s="23"/>
    </row>
    <row r="41" spans="1:4" x14ac:dyDescent="0.25">
      <c r="A41" s="10"/>
      <c r="B41" s="147"/>
      <c r="C41" s="10"/>
      <c r="D41" s="23"/>
    </row>
    <row r="42" spans="1:4" x14ac:dyDescent="0.25">
      <c r="A42" s="10"/>
      <c r="B42" s="147"/>
      <c r="C42" s="10"/>
      <c r="D42" s="23"/>
    </row>
    <row r="43" spans="1:4" x14ac:dyDescent="0.25">
      <c r="A43" s="10"/>
      <c r="B43" s="147"/>
      <c r="C43" s="10"/>
      <c r="D43" s="23"/>
    </row>
    <row r="44" spans="1:4" x14ac:dyDescent="0.25">
      <c r="A44" s="151"/>
      <c r="B44" s="152"/>
      <c r="C44" s="151"/>
      <c r="D44" s="23"/>
    </row>
    <row r="45" spans="1:4" x14ac:dyDescent="0.25">
      <c r="A45" s="232" t="s">
        <v>703</v>
      </c>
      <c r="B45" s="232"/>
      <c r="C45" s="232"/>
      <c r="D45" s="148">
        <f>D34-SUM(D35:D44)</f>
        <v>500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34:C34"/>
    <mergeCell ref="A45:C4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workbookViewId="0">
      <selection activeCell="C39" sqref="C39"/>
    </sheetView>
  </sheetViews>
  <sheetFormatPr defaultRowHeight="15" x14ac:dyDescent="0.25"/>
  <cols>
    <col min="1" max="1" width="11.5703125" customWidth="1"/>
    <col min="2" max="2" width="14.140625" customWidth="1"/>
    <col min="3" max="3" width="90.4257812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856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Geral!D27</f>
        <v>0</v>
      </c>
      <c r="F6" s="211" t="s">
        <v>687</v>
      </c>
      <c r="G6" s="212"/>
      <c r="H6" s="14" t="s">
        <v>582</v>
      </c>
      <c r="I6" s="24">
        <f>Geral!E27</f>
        <v>0</v>
      </c>
      <c r="K6" s="230" t="s">
        <v>688</v>
      </c>
      <c r="L6" s="230"/>
      <c r="M6" s="4" t="s">
        <v>582</v>
      </c>
      <c r="N6" s="24">
        <f>Geral!F27</f>
        <v>0</v>
      </c>
    </row>
    <row r="7" spans="1:14" ht="15" customHeight="1" x14ac:dyDescent="0.25">
      <c r="A7" s="230"/>
      <c r="B7" s="230"/>
      <c r="C7" s="3" t="s">
        <v>583</v>
      </c>
      <c r="D7" s="24">
        <f>SUM(D10:D21)</f>
        <v>0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0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/>
      <c r="B10" s="6"/>
      <c r="C10" s="7"/>
      <c r="D10" s="24"/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/>
      <c r="B11" s="6"/>
      <c r="C11" s="7"/>
      <c r="D11" s="24"/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/>
      <c r="B12" s="6"/>
      <c r="C12" s="7"/>
      <c r="D12" s="24"/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/>
      <c r="B13" s="6"/>
      <c r="C13" s="7"/>
      <c r="D13" s="24"/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/>
      <c r="B14" s="6"/>
      <c r="C14" s="7"/>
      <c r="D14" s="24"/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/>
      <c r="B15" s="6"/>
      <c r="C15" s="7"/>
      <c r="D15" s="24"/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/>
      <c r="B16" s="6"/>
      <c r="C16" s="7"/>
      <c r="D16" s="24"/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/>
      <c r="B17" s="6"/>
      <c r="C17" s="7"/>
      <c r="D17" s="24"/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31"/>
      <c r="B22" s="32"/>
      <c r="C22" s="33"/>
      <c r="D22" s="41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232" t="s">
        <v>782</v>
      </c>
      <c r="B23" s="232"/>
      <c r="C23" s="232"/>
      <c r="D23" s="232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74"/>
      <c r="B24" s="10"/>
      <c r="C24" s="10"/>
      <c r="D24" s="23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68"/>
      <c r="B25" s="71"/>
      <c r="C25" s="10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68"/>
      <c r="B26" s="71"/>
      <c r="C26" s="10"/>
      <c r="D26" s="23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68"/>
      <c r="B27" s="71"/>
      <c r="C27" s="10"/>
      <c r="D27" s="23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68"/>
      <c r="B28" s="71"/>
      <c r="C28" s="10"/>
      <c r="D28" s="23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68"/>
      <c r="B29" s="71"/>
      <c r="C29" s="10"/>
      <c r="D29" s="23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234" t="s">
        <v>135</v>
      </c>
      <c r="B32" s="235"/>
      <c r="C32" s="236"/>
      <c r="D32" s="75">
        <f>D24-(SUM(D25:D31))</f>
        <v>0</v>
      </c>
      <c r="F32" s="5"/>
      <c r="G32" s="6"/>
      <c r="H32" s="7"/>
      <c r="I32" s="24"/>
      <c r="K32" s="8"/>
      <c r="L32" s="6"/>
      <c r="M32" s="7"/>
      <c r="N32" s="24"/>
    </row>
    <row r="35" spans="2:8" ht="18.75" x14ac:dyDescent="0.3">
      <c r="B35" s="20" t="s">
        <v>857</v>
      </c>
      <c r="C35" s="233" t="s">
        <v>858</v>
      </c>
      <c r="D35" s="233"/>
      <c r="E35" s="233"/>
      <c r="F35" s="233"/>
      <c r="G35" s="233"/>
      <c r="H35" s="233"/>
    </row>
  </sheetData>
  <mergeCells count="11">
    <mergeCell ref="A1:N1"/>
    <mergeCell ref="A2:N2"/>
    <mergeCell ref="A3:N3"/>
    <mergeCell ref="A4:N4"/>
    <mergeCell ref="A5:B5"/>
    <mergeCell ref="C35:H35"/>
    <mergeCell ref="A6:B8"/>
    <mergeCell ref="F6:G8"/>
    <mergeCell ref="K6:L8"/>
    <mergeCell ref="A23:D23"/>
    <mergeCell ref="A32:C32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7" workbookViewId="0">
      <selection activeCell="A24" sqref="A24:C24"/>
    </sheetView>
  </sheetViews>
  <sheetFormatPr defaultRowHeight="15" x14ac:dyDescent="0.25"/>
  <cols>
    <col min="1" max="1" width="11.5703125" customWidth="1"/>
    <col min="2" max="2" width="14.140625" customWidth="1"/>
    <col min="3" max="3" width="70.14062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859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Geral!D28</f>
        <v>5756.6111000000001</v>
      </c>
      <c r="F6" s="211" t="s">
        <v>687</v>
      </c>
      <c r="G6" s="212"/>
      <c r="H6" s="14" t="s">
        <v>582</v>
      </c>
      <c r="I6" s="24">
        <f>Geral!E28</f>
        <v>0</v>
      </c>
      <c r="K6" s="230" t="s">
        <v>688</v>
      </c>
      <c r="L6" s="230"/>
      <c r="M6" s="4" t="s">
        <v>582</v>
      </c>
      <c r="N6" s="24">
        <f>Geral!F28</f>
        <v>0</v>
      </c>
    </row>
    <row r="7" spans="1:14" ht="15" customHeight="1" x14ac:dyDescent="0.25">
      <c r="A7" s="230"/>
      <c r="B7" s="230"/>
      <c r="C7" s="3" t="s">
        <v>583</v>
      </c>
      <c r="D7" s="24">
        <f>SUM(D10:D32)</f>
        <v>5756.6100000000006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1.0999999994965037E-3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43558</v>
      </c>
      <c r="B10" s="6" t="s">
        <v>860</v>
      </c>
      <c r="C10" s="7" t="s">
        <v>861</v>
      </c>
      <c r="D10" s="24">
        <v>245.2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43566</v>
      </c>
      <c r="B11" s="6"/>
      <c r="C11" s="7" t="s">
        <v>862</v>
      </c>
      <c r="D11" s="24">
        <v>133.43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43581</v>
      </c>
      <c r="B12" s="10"/>
      <c r="C12" s="10" t="s">
        <v>863</v>
      </c>
      <c r="D12" s="23">
        <f>5+20+5+20</f>
        <v>50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94">
        <v>2105</v>
      </c>
      <c r="B13" s="15" t="s">
        <v>864</v>
      </c>
      <c r="C13" s="76" t="s">
        <v>865</v>
      </c>
      <c r="D13" s="24">
        <v>103.6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94">
        <v>2105</v>
      </c>
      <c r="B14" s="71"/>
      <c r="C14" s="10" t="s">
        <v>866</v>
      </c>
      <c r="D14" s="23">
        <v>18.16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43608</v>
      </c>
      <c r="B15" s="6"/>
      <c r="C15" s="7" t="s">
        <v>867</v>
      </c>
      <c r="D15" s="24">
        <f>300*3</f>
        <v>900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43619</v>
      </c>
      <c r="B16" s="6"/>
      <c r="C16" s="7" t="s">
        <v>868</v>
      </c>
      <c r="D16" s="24">
        <f>120.26+180.39</f>
        <v>300.64999999999998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43627</v>
      </c>
      <c r="B17" s="71"/>
      <c r="C17" s="7" t="s">
        <v>692</v>
      </c>
      <c r="D17" s="23">
        <v>-2301.35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43634</v>
      </c>
      <c r="B18" s="6"/>
      <c r="C18" s="7" t="s">
        <v>869</v>
      </c>
      <c r="D18" s="24">
        <v>18.16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43668</v>
      </c>
      <c r="B19" s="95">
        <v>8448</v>
      </c>
      <c r="C19" s="95" t="s">
        <v>453</v>
      </c>
      <c r="D19" s="24">
        <v>375</v>
      </c>
      <c r="E19" s="76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43698</v>
      </c>
      <c r="B20" s="95">
        <v>10768</v>
      </c>
      <c r="C20" s="7" t="s">
        <v>705</v>
      </c>
      <c r="D20" s="23">
        <v>57.25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43705</v>
      </c>
      <c r="B21" s="95">
        <v>10288</v>
      </c>
      <c r="C21" s="76" t="s">
        <v>476</v>
      </c>
      <c r="D21" s="79">
        <v>740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43714</v>
      </c>
      <c r="B22" s="95">
        <v>11578</v>
      </c>
      <c r="C22" s="7" t="s">
        <v>705</v>
      </c>
      <c r="D22" s="24">
        <v>122.41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43734</v>
      </c>
      <c r="B23" s="6"/>
      <c r="C23" s="7" t="s">
        <v>870</v>
      </c>
      <c r="D23" s="24">
        <v>40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43759</v>
      </c>
      <c r="B24" s="6"/>
      <c r="C24" s="7" t="s">
        <v>701</v>
      </c>
      <c r="D24" s="24">
        <v>4954.1000000000004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34" workbookViewId="0">
      <selection sqref="A1:N1"/>
    </sheetView>
  </sheetViews>
  <sheetFormatPr defaultRowHeight="15" x14ac:dyDescent="0.25"/>
  <cols>
    <col min="1" max="1" width="11.5703125" customWidth="1"/>
    <col min="2" max="2" width="14.140625" customWidth="1"/>
    <col min="3" max="3" width="61.4257812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871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Geral!D29</f>
        <v>2878.30555</v>
      </c>
      <c r="F6" s="211" t="s">
        <v>687</v>
      </c>
      <c r="G6" s="212"/>
      <c r="H6" s="14" t="s">
        <v>582</v>
      </c>
      <c r="I6" s="24">
        <f>Geral!E29</f>
        <v>0</v>
      </c>
      <c r="K6" s="230" t="s">
        <v>688</v>
      </c>
      <c r="L6" s="230"/>
      <c r="M6" s="4" t="s">
        <v>582</v>
      </c>
      <c r="N6" s="24">
        <f>Geral!F29</f>
        <v>0</v>
      </c>
    </row>
    <row r="7" spans="1:14" ht="15" customHeight="1" x14ac:dyDescent="0.25">
      <c r="A7" s="230"/>
      <c r="B7" s="230"/>
      <c r="C7" s="3" t="s">
        <v>583</v>
      </c>
      <c r="D7" s="24">
        <f>SUM(D10:D28)</f>
        <v>2878.3100000000004</v>
      </c>
      <c r="F7" s="213"/>
      <c r="G7" s="214"/>
      <c r="H7" s="14" t="s">
        <v>583</v>
      </c>
      <c r="I7" s="24">
        <f>SUM(I10:I28)</f>
        <v>0</v>
      </c>
      <c r="K7" s="230"/>
      <c r="L7" s="230"/>
      <c r="M7" s="4" t="s">
        <v>583</v>
      </c>
      <c r="N7" s="24">
        <f>SUM(N10:N28)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-4.4500000003608875E-3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43564</v>
      </c>
      <c r="B10" s="6"/>
      <c r="C10" s="7" t="s">
        <v>872</v>
      </c>
      <c r="D10" s="24">
        <v>100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43564</v>
      </c>
      <c r="B11" s="6"/>
      <c r="C11" s="7" t="s">
        <v>873</v>
      </c>
      <c r="D11" s="24">
        <v>100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43564</v>
      </c>
      <c r="B12" s="6"/>
      <c r="C12" s="7" t="s">
        <v>874</v>
      </c>
      <c r="D12" s="24">
        <v>100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43613</v>
      </c>
      <c r="B13" s="71"/>
      <c r="C13" s="7" t="s">
        <v>692</v>
      </c>
      <c r="D13" s="24">
        <v>-2825.18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43703</v>
      </c>
      <c r="B14" s="95">
        <v>10944</v>
      </c>
      <c r="C14" s="7" t="s">
        <v>705</v>
      </c>
      <c r="D14" s="23">
        <v>1679.41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43720</v>
      </c>
      <c r="B15" s="95">
        <v>11931</v>
      </c>
      <c r="C15" s="7" t="s">
        <v>709</v>
      </c>
      <c r="D15" s="24">
        <v>1596.67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43726</v>
      </c>
      <c r="B16" s="95"/>
      <c r="C16" s="7" t="s">
        <v>710</v>
      </c>
      <c r="D16" s="23">
        <v>627.41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11">
        <v>43734</v>
      </c>
      <c r="B17" s="6"/>
      <c r="C17" s="7" t="s">
        <v>875</v>
      </c>
      <c r="D17" s="24">
        <v>1500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D29" s="1"/>
    </row>
    <row r="30" spans="1:14" x14ac:dyDescent="0.25">
      <c r="B30" s="44"/>
      <c r="C30" s="45" t="s">
        <v>715</v>
      </c>
      <c r="D30" s="23">
        <v>1298</v>
      </c>
    </row>
    <row r="31" spans="1:14" x14ac:dyDescent="0.25">
      <c r="B31" s="94">
        <v>1902</v>
      </c>
      <c r="C31" s="10" t="s">
        <v>876</v>
      </c>
      <c r="D31" s="23">
        <f>175+105+210</f>
        <v>490</v>
      </c>
    </row>
    <row r="32" spans="1:14" x14ac:dyDescent="0.25">
      <c r="B32" s="94">
        <v>2108</v>
      </c>
      <c r="C32" s="10" t="s">
        <v>877</v>
      </c>
      <c r="D32" s="23">
        <v>50</v>
      </c>
    </row>
    <row r="33" spans="1:4" x14ac:dyDescent="0.25">
      <c r="B33" s="94">
        <v>2609</v>
      </c>
      <c r="C33" s="7" t="s">
        <v>878</v>
      </c>
      <c r="D33" s="24">
        <v>40</v>
      </c>
    </row>
    <row r="34" spans="1:4" x14ac:dyDescent="0.25">
      <c r="B34" s="46"/>
      <c r="C34" s="7"/>
      <c r="D34" s="24"/>
    </row>
    <row r="35" spans="1:4" x14ac:dyDescent="0.25">
      <c r="B35" s="44"/>
      <c r="C35" s="10" t="s">
        <v>703</v>
      </c>
      <c r="D35" s="48">
        <f>D30-SUM(D31:D34)</f>
        <v>718</v>
      </c>
    </row>
    <row r="37" spans="1:4" x14ac:dyDescent="0.25">
      <c r="A37" s="232" t="s">
        <v>718</v>
      </c>
      <c r="B37" s="232"/>
      <c r="C37" s="232"/>
      <c r="D37" s="148">
        <f>D16</f>
        <v>627.41</v>
      </c>
    </row>
    <row r="38" spans="1:4" x14ac:dyDescent="0.25">
      <c r="A38" s="149"/>
      <c r="B38" s="150"/>
      <c r="C38" s="149"/>
      <c r="D38" s="23"/>
    </row>
    <row r="39" spans="1:4" x14ac:dyDescent="0.25">
      <c r="A39" s="10"/>
      <c r="B39" s="147"/>
      <c r="C39" s="10"/>
      <c r="D39" s="23"/>
    </row>
    <row r="40" spans="1:4" x14ac:dyDescent="0.25">
      <c r="A40" s="10"/>
      <c r="B40" s="147"/>
      <c r="C40" s="10"/>
      <c r="D40" s="23"/>
    </row>
    <row r="41" spans="1:4" x14ac:dyDescent="0.25">
      <c r="A41" s="10"/>
      <c r="B41" s="147"/>
      <c r="C41" s="10"/>
      <c r="D41" s="23"/>
    </row>
    <row r="42" spans="1:4" x14ac:dyDescent="0.25">
      <c r="A42" s="10"/>
      <c r="B42" s="147"/>
      <c r="C42" s="10"/>
      <c r="D42" s="23"/>
    </row>
    <row r="43" spans="1:4" x14ac:dyDescent="0.25">
      <c r="A43" s="10"/>
      <c r="B43" s="147"/>
      <c r="C43" s="10"/>
      <c r="D43" s="23"/>
    </row>
    <row r="44" spans="1:4" x14ac:dyDescent="0.25">
      <c r="A44" s="10"/>
      <c r="B44" s="147"/>
      <c r="C44" s="10"/>
      <c r="D44" s="23"/>
    </row>
    <row r="45" spans="1:4" x14ac:dyDescent="0.25">
      <c r="A45" s="10"/>
      <c r="B45" s="147"/>
      <c r="C45" s="10"/>
      <c r="D45" s="23"/>
    </row>
    <row r="46" spans="1:4" x14ac:dyDescent="0.25">
      <c r="A46" s="10"/>
      <c r="B46" s="147"/>
      <c r="C46" s="10"/>
      <c r="D46" s="23"/>
    </row>
    <row r="47" spans="1:4" x14ac:dyDescent="0.25">
      <c r="A47" s="151"/>
      <c r="B47" s="152"/>
      <c r="C47" s="151"/>
      <c r="D47" s="23"/>
    </row>
    <row r="48" spans="1:4" x14ac:dyDescent="0.25">
      <c r="A48" s="232" t="s">
        <v>703</v>
      </c>
      <c r="B48" s="232"/>
      <c r="C48" s="232"/>
      <c r="D48" s="148">
        <f>D37-SUM(D38:D47)</f>
        <v>627.41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37:C37"/>
    <mergeCell ref="A48:C48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scale="48" fitToWidth="0" orientation="landscape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28" workbookViewId="0">
      <selection activeCell="A22" sqref="A22:C22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2.140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879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Geral!D30</f>
        <v>5756.6111000000001</v>
      </c>
      <c r="F6" s="211" t="s">
        <v>687</v>
      </c>
      <c r="G6" s="212"/>
      <c r="H6" s="14" t="s">
        <v>582</v>
      </c>
      <c r="I6" s="24">
        <f>Geral!E30</f>
        <v>0</v>
      </c>
      <c r="K6" s="230" t="s">
        <v>688</v>
      </c>
      <c r="L6" s="230"/>
      <c r="M6" s="4" t="s">
        <v>582</v>
      </c>
      <c r="N6" s="24">
        <f>Geral!F30</f>
        <v>0</v>
      </c>
    </row>
    <row r="7" spans="1:14" ht="15" customHeight="1" x14ac:dyDescent="0.25">
      <c r="A7" s="230"/>
      <c r="B7" s="230"/>
      <c r="C7" s="3" t="s">
        <v>583</v>
      </c>
      <c r="D7" s="24">
        <f>SUM(D10:D32)</f>
        <v>5756.6100000000006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1.0999999994965037E-3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6"/>
      <c r="C10" s="7" t="s">
        <v>724</v>
      </c>
      <c r="D10" s="24">
        <v>250</v>
      </c>
      <c r="F10" s="5">
        <v>43531</v>
      </c>
      <c r="G10" s="6" t="s">
        <v>880</v>
      </c>
      <c r="H10" s="7" t="s">
        <v>881</v>
      </c>
      <c r="I10" s="24">
        <v>537.5</v>
      </c>
      <c r="K10" s="8"/>
      <c r="L10" s="6"/>
      <c r="M10" s="7"/>
      <c r="N10" s="24"/>
    </row>
    <row r="11" spans="1:14" x14ac:dyDescent="0.25">
      <c r="A11" s="5">
        <v>43514</v>
      </c>
      <c r="B11" s="6"/>
      <c r="C11" s="7" t="s">
        <v>882</v>
      </c>
      <c r="D11" s="24">
        <v>50.87</v>
      </c>
      <c r="F11" s="5">
        <v>43531</v>
      </c>
      <c r="G11" s="6"/>
      <c r="H11" s="7" t="s">
        <v>883</v>
      </c>
      <c r="I11" s="24">
        <v>-537.5</v>
      </c>
      <c r="K11" s="8"/>
      <c r="L11" s="6"/>
      <c r="M11" s="7"/>
      <c r="N11" s="24"/>
    </row>
    <row r="12" spans="1:14" x14ac:dyDescent="0.25">
      <c r="A12" s="5">
        <v>43517</v>
      </c>
      <c r="B12" s="6"/>
      <c r="C12" s="7" t="s">
        <v>725</v>
      </c>
      <c r="D12" s="24">
        <v>250</v>
      </c>
      <c r="F12" s="5">
        <v>43692</v>
      </c>
      <c r="G12" s="6"/>
      <c r="H12" s="7" t="s">
        <v>845</v>
      </c>
      <c r="I12" s="24">
        <f>-(177.56+339.68)</f>
        <v>-517.24</v>
      </c>
      <c r="K12" s="8"/>
      <c r="L12" s="6"/>
      <c r="M12" s="7"/>
      <c r="N12" s="24"/>
    </row>
    <row r="13" spans="1:14" x14ac:dyDescent="0.25">
      <c r="A13" s="5">
        <v>43538</v>
      </c>
      <c r="B13" s="6"/>
      <c r="C13" s="7" t="s">
        <v>884</v>
      </c>
      <c r="D13" s="24">
        <v>50.87</v>
      </c>
      <c r="F13" s="5">
        <v>43692</v>
      </c>
      <c r="G13" s="9" t="s">
        <v>885</v>
      </c>
      <c r="H13" s="10" t="s">
        <v>886</v>
      </c>
      <c r="I13" s="23">
        <v>339.68</v>
      </c>
      <c r="K13" s="8"/>
      <c r="L13" s="6"/>
      <c r="M13" s="7"/>
      <c r="N13" s="24"/>
    </row>
    <row r="14" spans="1:14" x14ac:dyDescent="0.25">
      <c r="A14" s="5">
        <v>43544</v>
      </c>
      <c r="B14" s="6"/>
      <c r="C14" s="7" t="s">
        <v>726</v>
      </c>
      <c r="D14" s="24">
        <v>250</v>
      </c>
      <c r="F14" s="5">
        <v>43692</v>
      </c>
      <c r="G14" s="6"/>
      <c r="H14" s="10" t="s">
        <v>887</v>
      </c>
      <c r="I14" s="24">
        <v>177.56</v>
      </c>
      <c r="K14" s="8"/>
      <c r="L14" s="6"/>
      <c r="M14" s="7"/>
      <c r="N14" s="24"/>
    </row>
    <row r="15" spans="1:14" x14ac:dyDescent="0.25">
      <c r="A15" s="5">
        <v>43578</v>
      </c>
      <c r="B15" s="6"/>
      <c r="C15" s="7" t="s">
        <v>727</v>
      </c>
      <c r="D15" s="24">
        <v>250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43609</v>
      </c>
      <c r="B16" s="6"/>
      <c r="C16" s="7" t="s">
        <v>729</v>
      </c>
      <c r="D16" s="24">
        <v>250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43640</v>
      </c>
      <c r="B17" s="6"/>
      <c r="C17" s="7" t="s">
        <v>706</v>
      </c>
      <c r="D17" s="24">
        <v>250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43662</v>
      </c>
      <c r="B18" s="6"/>
      <c r="C18" s="7" t="s">
        <v>708</v>
      </c>
      <c r="D18" s="24">
        <v>250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43692</v>
      </c>
      <c r="B19" s="6"/>
      <c r="C19" s="7" t="s">
        <v>849</v>
      </c>
      <c r="D19" s="24">
        <v>517.24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43699</v>
      </c>
      <c r="B20" s="6"/>
      <c r="C20" s="7" t="s">
        <v>733</v>
      </c>
      <c r="D20" s="24">
        <v>250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43732</v>
      </c>
      <c r="B21" s="6"/>
      <c r="C21" s="7" t="s">
        <v>734</v>
      </c>
      <c r="D21" s="24">
        <v>250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43759</v>
      </c>
      <c r="B22" s="6"/>
      <c r="C22" s="7" t="s">
        <v>701</v>
      </c>
      <c r="D22" s="24">
        <v>2887.63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68"/>
      <c r="B25" s="71"/>
      <c r="C25" s="10"/>
      <c r="D25" s="23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4:4" x14ac:dyDescent="0.25">
      <c r="D33" s="1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76" workbookViewId="0">
      <selection activeCell="D94" sqref="D94"/>
    </sheetView>
  </sheetViews>
  <sheetFormatPr defaultRowHeight="15" x14ac:dyDescent="0.25"/>
  <cols>
    <col min="1" max="1" width="11.5703125" customWidth="1"/>
    <col min="2" max="2" width="14.140625" customWidth="1"/>
    <col min="3" max="3" width="89.42578125" customWidth="1"/>
    <col min="4" max="4" width="15.140625" customWidth="1"/>
    <col min="5" max="5" width="3" customWidth="1"/>
    <col min="6" max="6" width="11.5703125" customWidth="1"/>
    <col min="7" max="7" width="15.5703125" customWidth="1"/>
    <col min="8" max="8" width="63.85546875" customWidth="1"/>
    <col min="9" max="9" width="12.140625" customWidth="1"/>
    <col min="10" max="10" width="3.140625" customWidth="1"/>
    <col min="11" max="11" width="11.5703125" customWidth="1"/>
    <col min="12" max="12" width="11.85546875" customWidth="1"/>
    <col min="13" max="13" width="35.5703125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888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Geral!D32</f>
        <v>29128.452166000003</v>
      </c>
      <c r="F6" s="211" t="s">
        <v>687</v>
      </c>
      <c r="G6" s="212"/>
      <c r="H6" s="14" t="s">
        <v>582</v>
      </c>
      <c r="I6" s="24">
        <f>Geral!E32</f>
        <v>5434.9117285714283</v>
      </c>
      <c r="K6" s="230" t="s">
        <v>688</v>
      </c>
      <c r="L6" s="230"/>
      <c r="M6" s="4" t="s">
        <v>582</v>
      </c>
      <c r="N6" s="24">
        <f>Geral!F32</f>
        <v>0</v>
      </c>
    </row>
    <row r="7" spans="1:14" ht="15" customHeight="1" x14ac:dyDescent="0.25">
      <c r="A7" s="230"/>
      <c r="B7" s="230"/>
      <c r="C7" s="3" t="s">
        <v>583</v>
      </c>
      <c r="D7" s="24">
        <f>SUM(D10:D83)</f>
        <v>29128.450000000008</v>
      </c>
      <c r="F7" s="213"/>
      <c r="G7" s="214"/>
      <c r="H7" s="14" t="s">
        <v>583</v>
      </c>
      <c r="I7" s="24">
        <f>SUM(I10:I29)</f>
        <v>901.45</v>
      </c>
      <c r="K7" s="230"/>
      <c r="L7" s="230"/>
      <c r="M7" s="4" t="s">
        <v>583</v>
      </c>
      <c r="N7" s="24">
        <f>SUM(N10:N29)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2.1659999947587494E-3</v>
      </c>
      <c r="F8" s="215"/>
      <c r="G8" s="216"/>
      <c r="H8" s="14" t="s">
        <v>584</v>
      </c>
      <c r="I8" s="24">
        <f>I6-I7</f>
        <v>4533.4617285714285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6"/>
      <c r="C10" s="7" t="s">
        <v>724</v>
      </c>
      <c r="D10" s="24">
        <v>600</v>
      </c>
      <c r="F10" s="5">
        <v>43606</v>
      </c>
      <c r="G10" s="6" t="s">
        <v>889</v>
      </c>
      <c r="H10" s="7" t="s">
        <v>890</v>
      </c>
      <c r="I10" s="24">
        <v>537.5</v>
      </c>
      <c r="K10" s="73"/>
      <c r="L10" s="71"/>
      <c r="M10" s="10"/>
      <c r="N10" s="23"/>
    </row>
    <row r="11" spans="1:14" x14ac:dyDescent="0.25">
      <c r="A11" s="5">
        <v>43517</v>
      </c>
      <c r="B11" s="6"/>
      <c r="C11" s="7" t="s">
        <v>725</v>
      </c>
      <c r="D11" s="24">
        <v>600</v>
      </c>
      <c r="F11" s="5">
        <v>43606</v>
      </c>
      <c r="G11" s="6" t="s">
        <v>891</v>
      </c>
      <c r="H11" s="7" t="s">
        <v>892</v>
      </c>
      <c r="I11" s="24">
        <v>537.5</v>
      </c>
      <c r="K11" s="73"/>
      <c r="L11" s="71"/>
      <c r="M11" s="10"/>
      <c r="N11" s="23"/>
    </row>
    <row r="12" spans="1:14" x14ac:dyDescent="0.25">
      <c r="A12" s="5">
        <v>43531</v>
      </c>
      <c r="B12" s="15"/>
      <c r="C12" s="7" t="s">
        <v>893</v>
      </c>
      <c r="D12" s="24">
        <v>4000</v>
      </c>
      <c r="F12" s="5">
        <v>43613</v>
      </c>
      <c r="G12" s="6" t="s">
        <v>894</v>
      </c>
      <c r="H12" s="7" t="s">
        <v>895</v>
      </c>
      <c r="I12" s="24">
        <v>400.86</v>
      </c>
      <c r="K12" s="73"/>
      <c r="L12" s="71"/>
      <c r="M12" s="10"/>
      <c r="N12" s="23"/>
    </row>
    <row r="13" spans="1:14" x14ac:dyDescent="0.25">
      <c r="A13" s="5">
        <v>43544</v>
      </c>
      <c r="B13" s="6"/>
      <c r="C13" s="7" t="s">
        <v>726</v>
      </c>
      <c r="D13" s="24">
        <v>300</v>
      </c>
      <c r="F13" s="5">
        <v>43654</v>
      </c>
      <c r="G13" s="6"/>
      <c r="H13" s="10" t="s">
        <v>845</v>
      </c>
      <c r="I13" s="24">
        <v>-3000</v>
      </c>
      <c r="K13" s="8"/>
      <c r="L13" s="6"/>
      <c r="M13" s="7"/>
      <c r="N13" s="24"/>
    </row>
    <row r="14" spans="1:14" x14ac:dyDescent="0.25">
      <c r="A14" s="5">
        <v>43578</v>
      </c>
      <c r="B14" s="6"/>
      <c r="C14" s="7" t="s">
        <v>727</v>
      </c>
      <c r="D14" s="24">
        <v>300</v>
      </c>
      <c r="F14" s="5">
        <v>43710</v>
      </c>
      <c r="G14" s="6" t="s">
        <v>896</v>
      </c>
      <c r="H14" s="7" t="s">
        <v>897</v>
      </c>
      <c r="I14" s="24">
        <v>995.43</v>
      </c>
      <c r="K14" s="8"/>
      <c r="L14" s="6"/>
      <c r="M14" s="7"/>
      <c r="N14" s="24"/>
    </row>
    <row r="15" spans="1:14" x14ac:dyDescent="0.25">
      <c r="A15" s="5">
        <v>43581</v>
      </c>
      <c r="B15" s="10"/>
      <c r="C15" s="10" t="s">
        <v>898</v>
      </c>
      <c r="D15" s="23">
        <v>120</v>
      </c>
      <c r="F15" s="5">
        <v>43710</v>
      </c>
      <c r="G15" s="6" t="s">
        <v>899</v>
      </c>
      <c r="H15" s="7" t="s">
        <v>900</v>
      </c>
      <c r="I15" s="24">
        <v>1294.8</v>
      </c>
      <c r="K15" s="8"/>
      <c r="L15" s="6"/>
      <c r="M15" s="7"/>
      <c r="N15" s="24"/>
    </row>
    <row r="16" spans="1:14" x14ac:dyDescent="0.25">
      <c r="A16" s="5">
        <v>43581</v>
      </c>
      <c r="B16" s="10"/>
      <c r="C16" s="10" t="s">
        <v>901</v>
      </c>
      <c r="D16" s="23">
        <v>155</v>
      </c>
      <c r="F16" s="5">
        <v>43714</v>
      </c>
      <c r="G16" s="6" t="s">
        <v>902</v>
      </c>
      <c r="H16" s="7" t="s">
        <v>903</v>
      </c>
      <c r="I16" s="24">
        <v>67.680000000000007</v>
      </c>
      <c r="K16" s="8"/>
      <c r="L16" s="6"/>
      <c r="M16" s="7"/>
      <c r="N16" s="24"/>
    </row>
    <row r="17" spans="1:14" x14ac:dyDescent="0.25">
      <c r="A17" s="5">
        <v>43581</v>
      </c>
      <c r="B17" s="10"/>
      <c r="C17" s="10" t="s">
        <v>904</v>
      </c>
      <c r="D17" s="23">
        <v>50</v>
      </c>
      <c r="F17" s="5">
        <v>43746</v>
      </c>
      <c r="G17" s="6" t="s">
        <v>905</v>
      </c>
      <c r="H17" s="7" t="s">
        <v>906</v>
      </c>
      <c r="I17" s="24">
        <v>67.680000000000007</v>
      </c>
      <c r="K17" s="8"/>
      <c r="L17" s="6"/>
      <c r="M17" s="7"/>
      <c r="N17" s="24"/>
    </row>
    <row r="18" spans="1:14" x14ac:dyDescent="0.25">
      <c r="A18" s="5">
        <v>43581</v>
      </c>
      <c r="B18" s="10"/>
      <c r="C18" s="10" t="s">
        <v>907</v>
      </c>
      <c r="D18" s="23">
        <v>150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43591</v>
      </c>
      <c r="B19" s="6"/>
      <c r="C19" s="7" t="s">
        <v>908</v>
      </c>
      <c r="D19" s="24">
        <v>132.02000000000001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43606</v>
      </c>
      <c r="B20" s="71"/>
      <c r="C20" s="10" t="s">
        <v>909</v>
      </c>
      <c r="D20" s="23">
        <v>18.829999999999998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43606</v>
      </c>
      <c r="B21" s="6" t="s">
        <v>910</v>
      </c>
      <c r="C21" s="7" t="s">
        <v>911</v>
      </c>
      <c r="D21" s="24">
        <f>316+450.3</f>
        <v>766.3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43609</v>
      </c>
      <c r="B22" s="6"/>
      <c r="C22" s="7" t="s">
        <v>729</v>
      </c>
      <c r="D22" s="24">
        <v>300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43612</v>
      </c>
      <c r="B23" s="71"/>
      <c r="C23" s="10" t="s">
        <v>912</v>
      </c>
      <c r="D23" s="23">
        <v>353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43619</v>
      </c>
      <c r="B24" s="110">
        <v>5681</v>
      </c>
      <c r="C24" s="76" t="s">
        <v>367</v>
      </c>
      <c r="D24" s="79">
        <v>217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43619</v>
      </c>
      <c r="B25" s="110">
        <v>5710</v>
      </c>
      <c r="C25" s="76" t="s">
        <v>369</v>
      </c>
      <c r="D25" s="79">
        <v>218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43627</v>
      </c>
      <c r="B26" s="6"/>
      <c r="C26" s="7" t="s">
        <v>692</v>
      </c>
      <c r="D26" s="24">
        <v>-1401.69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43629</v>
      </c>
      <c r="B27" s="95">
        <v>7859</v>
      </c>
      <c r="C27" s="7" t="s">
        <v>705</v>
      </c>
      <c r="D27" s="23">
        <v>24.57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94">
        <v>1706</v>
      </c>
      <c r="B28" s="15" t="s">
        <v>913</v>
      </c>
      <c r="C28" s="76" t="s">
        <v>914</v>
      </c>
      <c r="D28" s="24">
        <v>130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>
        <v>43640</v>
      </c>
      <c r="B29" s="6"/>
      <c r="C29" s="7" t="s">
        <v>706</v>
      </c>
      <c r="D29" s="24">
        <v>400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>
        <v>43644</v>
      </c>
      <c r="B30" s="6"/>
      <c r="C30" s="10" t="s">
        <v>915</v>
      </c>
      <c r="D30" s="24">
        <v>715.5</v>
      </c>
      <c r="F30" s="31"/>
      <c r="G30" s="32"/>
      <c r="H30" s="33"/>
      <c r="I30" s="41"/>
      <c r="K30" s="35"/>
      <c r="L30" s="32"/>
      <c r="M30" s="33"/>
      <c r="N30" s="41"/>
    </row>
    <row r="31" spans="1:14" x14ac:dyDescent="0.25">
      <c r="A31" s="5">
        <v>43647</v>
      </c>
      <c r="B31" s="95">
        <v>7975</v>
      </c>
      <c r="C31" s="7" t="s">
        <v>705</v>
      </c>
      <c r="D31" s="24">
        <v>26.12</v>
      </c>
      <c r="F31" s="31"/>
      <c r="G31" s="32"/>
      <c r="H31" s="33"/>
      <c r="I31" s="41"/>
      <c r="K31" s="35"/>
      <c r="L31" s="32"/>
      <c r="M31" s="33"/>
      <c r="N31" s="41"/>
    </row>
    <row r="32" spans="1:14" x14ac:dyDescent="0.25">
      <c r="A32" s="5">
        <v>43647</v>
      </c>
      <c r="B32" s="95">
        <v>8105</v>
      </c>
      <c r="C32" s="7" t="s">
        <v>705</v>
      </c>
      <c r="D32" s="24">
        <v>109.86000000000001</v>
      </c>
      <c r="F32" s="31"/>
      <c r="G32" s="32"/>
      <c r="H32" s="33"/>
      <c r="I32" s="41"/>
      <c r="K32" s="35"/>
      <c r="L32" s="32"/>
      <c r="M32" s="33"/>
      <c r="N32" s="41"/>
    </row>
    <row r="33" spans="1:14" x14ac:dyDescent="0.25">
      <c r="A33" s="5">
        <v>43647</v>
      </c>
      <c r="B33" s="95">
        <v>8250</v>
      </c>
      <c r="C33" s="7" t="s">
        <v>705</v>
      </c>
      <c r="D33" s="23">
        <v>267.91000000000003</v>
      </c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5">
        <v>43649</v>
      </c>
      <c r="B34" s="95">
        <v>8382</v>
      </c>
      <c r="C34" s="7" t="s">
        <v>705</v>
      </c>
      <c r="D34" s="24">
        <v>31.17</v>
      </c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5">
        <v>43649</v>
      </c>
      <c r="B35" s="95">
        <v>8528</v>
      </c>
      <c r="C35" s="7" t="s">
        <v>705</v>
      </c>
      <c r="D35" s="24">
        <v>7.04</v>
      </c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5">
        <v>43650</v>
      </c>
      <c r="B36" s="95">
        <v>7773</v>
      </c>
      <c r="C36" s="7" t="s">
        <v>705</v>
      </c>
      <c r="D36" s="23">
        <v>126.19</v>
      </c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A37" s="5">
        <v>43650</v>
      </c>
      <c r="B37" s="95">
        <v>8560</v>
      </c>
      <c r="C37" s="7" t="s">
        <v>705</v>
      </c>
      <c r="D37" s="23">
        <v>62.34</v>
      </c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5">
        <v>43650</v>
      </c>
      <c r="B38" s="71"/>
      <c r="C38" s="10" t="s">
        <v>916</v>
      </c>
      <c r="D38" s="23">
        <v>1372.23</v>
      </c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94">
        <v>407</v>
      </c>
      <c r="B39" s="10" t="s">
        <v>917</v>
      </c>
      <c r="C39" s="76" t="s">
        <v>918</v>
      </c>
      <c r="D39" s="23">
        <v>60</v>
      </c>
      <c r="F39" s="31"/>
      <c r="G39" s="32"/>
      <c r="H39" s="33"/>
      <c r="I39" s="41"/>
      <c r="K39" s="35"/>
      <c r="L39" s="32"/>
      <c r="M39" s="33"/>
      <c r="N39" s="41"/>
    </row>
    <row r="40" spans="1:14" x14ac:dyDescent="0.25">
      <c r="A40" s="94">
        <v>407</v>
      </c>
      <c r="B40" s="10" t="s">
        <v>919</v>
      </c>
      <c r="C40" s="76" t="s">
        <v>920</v>
      </c>
      <c r="D40" s="23">
        <v>90</v>
      </c>
    </row>
    <row r="41" spans="1:14" x14ac:dyDescent="0.25">
      <c r="A41" s="5">
        <v>43654</v>
      </c>
      <c r="B41" s="95">
        <v>7485</v>
      </c>
      <c r="C41" s="76" t="s">
        <v>434</v>
      </c>
      <c r="D41" s="79">
        <v>912</v>
      </c>
    </row>
    <row r="42" spans="1:14" x14ac:dyDescent="0.25">
      <c r="A42" s="5">
        <v>43654</v>
      </c>
      <c r="B42" s="6"/>
      <c r="C42" s="10" t="s">
        <v>849</v>
      </c>
      <c r="D42" s="24">
        <v>3000</v>
      </c>
    </row>
    <row r="43" spans="1:14" x14ac:dyDescent="0.25">
      <c r="A43" s="5">
        <v>43655</v>
      </c>
      <c r="B43" s="95">
        <v>8526</v>
      </c>
      <c r="C43" s="7" t="s">
        <v>705</v>
      </c>
      <c r="D43" s="23">
        <v>4.33</v>
      </c>
    </row>
    <row r="44" spans="1:14" x14ac:dyDescent="0.25">
      <c r="A44" s="5">
        <v>43662</v>
      </c>
      <c r="B44" s="6"/>
      <c r="C44" s="7" t="s">
        <v>708</v>
      </c>
      <c r="D44" s="24">
        <v>400</v>
      </c>
    </row>
    <row r="45" spans="1:14" x14ac:dyDescent="0.25">
      <c r="A45" s="94">
        <v>608</v>
      </c>
      <c r="B45" s="15" t="s">
        <v>921</v>
      </c>
      <c r="C45" s="76" t="s">
        <v>922</v>
      </c>
      <c r="D45" s="23">
        <v>150</v>
      </c>
    </row>
    <row r="46" spans="1:14" x14ac:dyDescent="0.25">
      <c r="A46" s="5">
        <v>43684</v>
      </c>
      <c r="B46" s="95">
        <v>9914</v>
      </c>
      <c r="C46" s="7" t="s">
        <v>705</v>
      </c>
      <c r="D46" s="23">
        <v>240</v>
      </c>
    </row>
    <row r="47" spans="1:14" x14ac:dyDescent="0.25">
      <c r="A47" s="5">
        <v>43686</v>
      </c>
      <c r="B47" s="95">
        <v>10178</v>
      </c>
      <c r="C47" s="7" t="s">
        <v>705</v>
      </c>
      <c r="D47" s="23">
        <v>46.47</v>
      </c>
    </row>
    <row r="48" spans="1:14" x14ac:dyDescent="0.25">
      <c r="A48" s="68">
        <v>1408</v>
      </c>
      <c r="B48" s="71"/>
      <c r="C48" s="10" t="s">
        <v>923</v>
      </c>
      <c r="D48" s="23">
        <v>20</v>
      </c>
    </row>
    <row r="49" spans="1:4" x14ac:dyDescent="0.25">
      <c r="A49" s="68">
        <v>1408</v>
      </c>
      <c r="B49" s="71"/>
      <c r="C49" s="10" t="s">
        <v>924</v>
      </c>
      <c r="D49" s="23">
        <v>30</v>
      </c>
    </row>
    <row r="50" spans="1:4" x14ac:dyDescent="0.25">
      <c r="A50" s="68">
        <v>1408</v>
      </c>
      <c r="B50" s="71"/>
      <c r="C50" s="10" t="s">
        <v>925</v>
      </c>
      <c r="D50" s="23">
        <v>45</v>
      </c>
    </row>
    <row r="51" spans="1:4" x14ac:dyDescent="0.25">
      <c r="A51" s="5">
        <v>43693</v>
      </c>
      <c r="B51" s="95"/>
      <c r="C51" s="7" t="s">
        <v>926</v>
      </c>
      <c r="D51" s="23">
        <f>123.03+184.55</f>
        <v>307.58000000000004</v>
      </c>
    </row>
    <row r="52" spans="1:4" x14ac:dyDescent="0.25">
      <c r="A52" s="5">
        <v>43696</v>
      </c>
      <c r="B52" s="95">
        <v>10619</v>
      </c>
      <c r="C52" s="7" t="s">
        <v>705</v>
      </c>
      <c r="D52" s="23">
        <v>67.23</v>
      </c>
    </row>
    <row r="53" spans="1:4" x14ac:dyDescent="0.25">
      <c r="A53" s="5">
        <v>43697</v>
      </c>
      <c r="B53" s="95">
        <v>10571</v>
      </c>
      <c r="C53" s="7" t="s">
        <v>705</v>
      </c>
      <c r="D53" s="23">
        <v>131.19999999999999</v>
      </c>
    </row>
    <row r="54" spans="1:4" x14ac:dyDescent="0.25">
      <c r="A54" s="5">
        <v>43699</v>
      </c>
      <c r="B54" s="6"/>
      <c r="C54" s="7" t="s">
        <v>733</v>
      </c>
      <c r="D54" s="24">
        <v>400</v>
      </c>
    </row>
    <row r="55" spans="1:4" x14ac:dyDescent="0.25">
      <c r="A55" s="5">
        <v>43704</v>
      </c>
      <c r="B55" s="95">
        <v>10963</v>
      </c>
      <c r="C55" s="7" t="s">
        <v>705</v>
      </c>
      <c r="D55" s="23">
        <v>67.72</v>
      </c>
    </row>
    <row r="56" spans="1:4" x14ac:dyDescent="0.25">
      <c r="A56" s="5">
        <v>43704</v>
      </c>
      <c r="B56" s="95">
        <v>11027</v>
      </c>
      <c r="C56" s="7" t="s">
        <v>705</v>
      </c>
      <c r="D56" s="23">
        <v>24.99</v>
      </c>
    </row>
    <row r="57" spans="1:4" x14ac:dyDescent="0.25">
      <c r="A57" s="5">
        <v>43705</v>
      </c>
      <c r="B57" s="6" t="s">
        <v>779</v>
      </c>
      <c r="C57" s="76" t="s">
        <v>780</v>
      </c>
      <c r="D57" s="79">
        <f>1953/2</f>
        <v>976.5</v>
      </c>
    </row>
    <row r="58" spans="1:4" x14ac:dyDescent="0.25">
      <c r="A58" s="5">
        <v>43710</v>
      </c>
      <c r="B58" s="95">
        <v>11274</v>
      </c>
      <c r="C58" s="7" t="s">
        <v>705</v>
      </c>
      <c r="D58" s="23">
        <v>574.05999999999995</v>
      </c>
    </row>
    <row r="59" spans="1:4" x14ac:dyDescent="0.25">
      <c r="A59" s="5">
        <v>43710</v>
      </c>
      <c r="B59" s="95">
        <v>11285</v>
      </c>
      <c r="C59" s="7" t="s">
        <v>705</v>
      </c>
      <c r="D59" s="23">
        <v>22.61</v>
      </c>
    </row>
    <row r="60" spans="1:4" x14ac:dyDescent="0.25">
      <c r="A60" s="5">
        <v>43717</v>
      </c>
      <c r="B60" s="95">
        <v>11645</v>
      </c>
      <c r="C60" s="7" t="s">
        <v>705</v>
      </c>
      <c r="D60" s="23">
        <v>30.74</v>
      </c>
    </row>
    <row r="61" spans="1:4" x14ac:dyDescent="0.25">
      <c r="A61" s="5">
        <v>43717</v>
      </c>
      <c r="B61" s="95">
        <v>11095</v>
      </c>
      <c r="C61" s="76" t="s">
        <v>491</v>
      </c>
      <c r="D61" s="79">
        <v>436</v>
      </c>
    </row>
    <row r="62" spans="1:4" x14ac:dyDescent="0.25">
      <c r="A62" s="5">
        <v>43717</v>
      </c>
      <c r="B62" s="95">
        <v>1019</v>
      </c>
      <c r="C62" s="10" t="s">
        <v>927</v>
      </c>
      <c r="D62" s="23">
        <v>5800</v>
      </c>
    </row>
    <row r="63" spans="1:4" x14ac:dyDescent="0.25">
      <c r="A63" s="5">
        <v>43717</v>
      </c>
      <c r="B63" s="95">
        <v>11718</v>
      </c>
      <c r="C63" s="7" t="s">
        <v>705</v>
      </c>
      <c r="D63" s="23">
        <v>21.62</v>
      </c>
    </row>
    <row r="64" spans="1:4" x14ac:dyDescent="0.25">
      <c r="A64" s="94">
        <v>1009</v>
      </c>
      <c r="B64" s="95">
        <v>11203</v>
      </c>
      <c r="C64" s="76" t="s">
        <v>492</v>
      </c>
      <c r="D64" s="79">
        <v>59.34</v>
      </c>
    </row>
    <row r="65" spans="1:4" x14ac:dyDescent="0.25">
      <c r="A65" s="94">
        <v>1009</v>
      </c>
      <c r="B65" s="95">
        <v>11204</v>
      </c>
      <c r="C65" s="76" t="s">
        <v>493</v>
      </c>
      <c r="D65" s="79">
        <v>155</v>
      </c>
    </row>
    <row r="66" spans="1:4" x14ac:dyDescent="0.25">
      <c r="A66" s="94">
        <v>1009</v>
      </c>
      <c r="B66" s="95">
        <v>11205</v>
      </c>
      <c r="C66" s="76" t="s">
        <v>494</v>
      </c>
      <c r="D66" s="79">
        <v>185.99</v>
      </c>
    </row>
    <row r="67" spans="1:4" x14ac:dyDescent="0.25">
      <c r="A67" s="94">
        <v>1009</v>
      </c>
      <c r="B67" s="95">
        <v>11207</v>
      </c>
      <c r="C67" s="76" t="s">
        <v>495</v>
      </c>
      <c r="D67" s="79">
        <v>47</v>
      </c>
    </row>
    <row r="68" spans="1:4" x14ac:dyDescent="0.25">
      <c r="A68" s="94">
        <v>1009</v>
      </c>
      <c r="B68" s="95">
        <v>11209</v>
      </c>
      <c r="C68" s="76" t="s">
        <v>496</v>
      </c>
      <c r="D68" s="79">
        <v>24.98</v>
      </c>
    </row>
    <row r="69" spans="1:4" x14ac:dyDescent="0.25">
      <c r="A69" s="94">
        <v>1009</v>
      </c>
      <c r="B69" s="95">
        <v>11211</v>
      </c>
      <c r="C69" s="76" t="s">
        <v>497</v>
      </c>
      <c r="D69" s="79">
        <v>68</v>
      </c>
    </row>
    <row r="70" spans="1:4" x14ac:dyDescent="0.25">
      <c r="A70" s="94">
        <v>1009</v>
      </c>
      <c r="B70" s="95">
        <v>11216</v>
      </c>
      <c r="C70" s="76" t="s">
        <v>498</v>
      </c>
      <c r="D70" s="79">
        <v>33.97</v>
      </c>
    </row>
    <row r="71" spans="1:4" x14ac:dyDescent="0.25">
      <c r="A71" s="94">
        <v>1009</v>
      </c>
      <c r="B71" s="95">
        <v>11218</v>
      </c>
      <c r="C71" s="76" t="s">
        <v>499</v>
      </c>
      <c r="D71" s="79">
        <v>26</v>
      </c>
    </row>
    <row r="72" spans="1:4" x14ac:dyDescent="0.25">
      <c r="A72" s="94">
        <v>1009</v>
      </c>
      <c r="B72" s="95">
        <v>11219</v>
      </c>
      <c r="C72" s="76" t="s">
        <v>500</v>
      </c>
      <c r="D72" s="79">
        <v>14.54</v>
      </c>
    </row>
    <row r="73" spans="1:4" x14ac:dyDescent="0.25">
      <c r="A73" s="94">
        <v>1009</v>
      </c>
      <c r="B73" s="95">
        <v>11220</v>
      </c>
      <c r="C73" s="76" t="s">
        <v>501</v>
      </c>
      <c r="D73" s="79">
        <v>21</v>
      </c>
    </row>
    <row r="74" spans="1:4" x14ac:dyDescent="0.25">
      <c r="A74" s="94">
        <v>1009</v>
      </c>
      <c r="B74" s="95">
        <v>11222</v>
      </c>
      <c r="C74" s="76" t="s">
        <v>502</v>
      </c>
      <c r="D74" s="79">
        <v>48</v>
      </c>
    </row>
    <row r="75" spans="1:4" x14ac:dyDescent="0.25">
      <c r="A75" s="5">
        <v>43721</v>
      </c>
      <c r="B75" s="6"/>
      <c r="C75" s="10" t="s">
        <v>928</v>
      </c>
      <c r="D75" s="24">
        <v>15</v>
      </c>
    </row>
    <row r="76" spans="1:4" x14ac:dyDescent="0.25">
      <c r="A76" s="5">
        <v>43726</v>
      </c>
      <c r="B76" s="95"/>
      <c r="C76" s="7" t="s">
        <v>710</v>
      </c>
      <c r="D76" s="23">
        <v>1500</v>
      </c>
    </row>
    <row r="77" spans="1:4" x14ac:dyDescent="0.25">
      <c r="A77" s="5">
        <v>43732</v>
      </c>
      <c r="B77" s="6"/>
      <c r="C77" s="7" t="s">
        <v>734</v>
      </c>
      <c r="D77" s="24">
        <v>400</v>
      </c>
    </row>
    <row r="78" spans="1:4" x14ac:dyDescent="0.25">
      <c r="A78" s="5">
        <v>43742</v>
      </c>
      <c r="B78" s="95"/>
      <c r="C78" s="7" t="s">
        <v>699</v>
      </c>
      <c r="D78" s="23">
        <v>1300</v>
      </c>
    </row>
    <row r="79" spans="1:4" x14ac:dyDescent="0.25">
      <c r="A79" s="5">
        <v>43752</v>
      </c>
      <c r="B79" s="10" t="s">
        <v>929</v>
      </c>
      <c r="C79" s="76" t="s">
        <v>930</v>
      </c>
      <c r="D79" s="80">
        <f>17.5+29.4</f>
        <v>46.9</v>
      </c>
    </row>
    <row r="80" spans="1:4" x14ac:dyDescent="0.25">
      <c r="A80" s="5">
        <v>43752</v>
      </c>
      <c r="B80" s="10" t="s">
        <v>931</v>
      </c>
      <c r="C80" s="76" t="s">
        <v>930</v>
      </c>
      <c r="D80" s="80">
        <v>42</v>
      </c>
    </row>
    <row r="81" spans="1:4" x14ac:dyDescent="0.25">
      <c r="A81" s="5">
        <v>43759</v>
      </c>
      <c r="B81" s="6"/>
      <c r="C81" s="7" t="s">
        <v>701</v>
      </c>
      <c r="D81" s="23">
        <v>1131.29</v>
      </c>
    </row>
    <row r="82" spans="1:4" x14ac:dyDescent="0.25">
      <c r="A82" s="5"/>
      <c r="B82" s="95"/>
      <c r="C82" s="7"/>
      <c r="D82" s="23"/>
    </row>
    <row r="83" spans="1:4" x14ac:dyDescent="0.25">
      <c r="A83" s="5"/>
      <c r="B83" s="95"/>
      <c r="C83" s="7"/>
      <c r="D83" s="23"/>
    </row>
    <row r="90" spans="1:4" x14ac:dyDescent="0.25">
      <c r="A90" s="232" t="s">
        <v>718</v>
      </c>
      <c r="B90" s="232"/>
      <c r="C90" s="232"/>
      <c r="D90" s="148">
        <f>D76</f>
        <v>1500</v>
      </c>
    </row>
    <row r="91" spans="1:4" x14ac:dyDescent="0.25">
      <c r="A91" s="5">
        <v>43759</v>
      </c>
      <c r="B91" s="95">
        <v>13743</v>
      </c>
      <c r="C91" s="7" t="s">
        <v>705</v>
      </c>
      <c r="D91" s="23">
        <v>271.94</v>
      </c>
    </row>
    <row r="92" spans="1:4" x14ac:dyDescent="0.25">
      <c r="A92" s="5">
        <v>43760</v>
      </c>
      <c r="B92" s="95">
        <v>13806</v>
      </c>
      <c r="C92" s="7" t="s">
        <v>705</v>
      </c>
      <c r="D92" s="23">
        <v>25.7</v>
      </c>
    </row>
    <row r="93" spans="1:4" x14ac:dyDescent="0.25">
      <c r="A93" s="5">
        <v>43767</v>
      </c>
      <c r="B93" s="95">
        <v>14085</v>
      </c>
      <c r="C93" s="7" t="s">
        <v>705</v>
      </c>
      <c r="D93" s="23">
        <v>141.12</v>
      </c>
    </row>
    <row r="94" spans="1:4" x14ac:dyDescent="0.25">
      <c r="A94" s="10"/>
      <c r="B94" s="147"/>
      <c r="C94" s="10"/>
      <c r="D94" s="23"/>
    </row>
    <row r="95" spans="1:4" x14ac:dyDescent="0.25">
      <c r="A95" s="10"/>
      <c r="B95" s="147"/>
      <c r="C95" s="10"/>
      <c r="D95" s="23"/>
    </row>
    <row r="96" spans="1:4" x14ac:dyDescent="0.25">
      <c r="A96" s="10"/>
      <c r="B96" s="147"/>
      <c r="C96" s="10"/>
      <c r="D96" s="23"/>
    </row>
    <row r="97" spans="1:4" x14ac:dyDescent="0.25">
      <c r="A97" s="10"/>
      <c r="B97" s="147"/>
      <c r="C97" s="10"/>
      <c r="D97" s="23"/>
    </row>
    <row r="98" spans="1:4" x14ac:dyDescent="0.25">
      <c r="A98" s="10"/>
      <c r="B98" s="147"/>
      <c r="C98" s="10"/>
      <c r="D98" s="23"/>
    </row>
    <row r="99" spans="1:4" x14ac:dyDescent="0.25">
      <c r="A99" s="10"/>
      <c r="B99" s="147"/>
      <c r="C99" s="10"/>
      <c r="D99" s="23"/>
    </row>
    <row r="100" spans="1:4" x14ac:dyDescent="0.25">
      <c r="A100" s="151"/>
      <c r="B100" s="152"/>
      <c r="C100" s="151"/>
      <c r="D100" s="23"/>
    </row>
    <row r="101" spans="1:4" x14ac:dyDescent="0.25">
      <c r="A101" s="232" t="s">
        <v>703</v>
      </c>
      <c r="B101" s="232"/>
      <c r="C101" s="232"/>
      <c r="D101" s="148">
        <f>D90-SUM(D91:D100)</f>
        <v>1061.24</v>
      </c>
    </row>
    <row r="104" spans="1:4" x14ac:dyDescent="0.25">
      <c r="B104" s="44"/>
      <c r="C104" s="45" t="s">
        <v>932</v>
      </c>
      <c r="D104" s="23"/>
    </row>
    <row r="105" spans="1:4" x14ac:dyDescent="0.25">
      <c r="B105" s="5">
        <v>43742</v>
      </c>
      <c r="C105" s="7" t="s">
        <v>699</v>
      </c>
      <c r="D105" s="23">
        <v>1300</v>
      </c>
    </row>
    <row r="106" spans="1:4" x14ac:dyDescent="0.25">
      <c r="B106" s="5">
        <v>43752</v>
      </c>
      <c r="C106" s="7" t="s">
        <v>933</v>
      </c>
      <c r="D106" s="23">
        <f>-(155.42+161.46+149.38)</f>
        <v>-466.26</v>
      </c>
    </row>
    <row r="107" spans="1:4" x14ac:dyDescent="0.25">
      <c r="B107" s="44"/>
      <c r="C107" s="10"/>
      <c r="D107" s="23"/>
    </row>
    <row r="108" spans="1:4" x14ac:dyDescent="0.25">
      <c r="B108" s="44"/>
      <c r="C108" s="10" t="s">
        <v>703</v>
      </c>
      <c r="D108" s="48">
        <f>SUM(D104:D107)</f>
        <v>833.74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90:C90"/>
    <mergeCell ref="A101:C101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2.42578125" customWidth="1"/>
    <col min="6" max="6" width="11.5703125" customWidth="1"/>
    <col min="7" max="7" width="15.140625" customWidth="1"/>
    <col min="8" max="8" width="43.28515625" customWidth="1"/>
    <col min="9" max="9" width="12.140625" customWidth="1"/>
    <col min="10" max="10" width="3.28515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934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Geral!D33</f>
        <v>17384.965521999999</v>
      </c>
      <c r="F6" s="211" t="s">
        <v>687</v>
      </c>
      <c r="G6" s="212"/>
      <c r="H6" s="14" t="s">
        <v>582</v>
      </c>
      <c r="I6" s="24">
        <f>Geral!E33</f>
        <v>5434.9117285714283</v>
      </c>
      <c r="K6" s="230" t="s">
        <v>688</v>
      </c>
      <c r="L6" s="230"/>
      <c r="M6" s="4" t="s">
        <v>582</v>
      </c>
      <c r="N6" s="24">
        <f>Geral!F33</f>
        <v>7579.67</v>
      </c>
    </row>
    <row r="7" spans="1:14" ht="15" customHeight="1" x14ac:dyDescent="0.25">
      <c r="A7" s="230"/>
      <c r="B7" s="230"/>
      <c r="C7" s="3" t="s">
        <v>583</v>
      </c>
      <c r="D7" s="24">
        <f>SUM(D10:D121)</f>
        <v>17384.97</v>
      </c>
      <c r="F7" s="213"/>
      <c r="G7" s="214"/>
      <c r="H7" s="14" t="s">
        <v>583</v>
      </c>
      <c r="I7" s="24">
        <f>SUM(I10:I31)</f>
        <v>5434.91</v>
      </c>
      <c r="K7" s="230"/>
      <c r="L7" s="230"/>
      <c r="M7" s="4" t="s">
        <v>583</v>
      </c>
      <c r="N7" s="24">
        <f>SUM(N10:N31)</f>
        <v>7579.67</v>
      </c>
    </row>
    <row r="8" spans="1:14" ht="15" customHeight="1" x14ac:dyDescent="0.25">
      <c r="A8" s="230"/>
      <c r="B8" s="230"/>
      <c r="C8" s="3" t="s">
        <v>584</v>
      </c>
      <c r="D8" s="24">
        <f>D6-D7</f>
        <v>-4.478000002563931E-3</v>
      </c>
      <c r="F8" s="215"/>
      <c r="G8" s="216"/>
      <c r="H8" s="14" t="s">
        <v>584</v>
      </c>
      <c r="I8" s="24">
        <f>I6-I7</f>
        <v>1.7285714284298592E-3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94">
        <v>703</v>
      </c>
      <c r="B10" s="95">
        <v>1920</v>
      </c>
      <c r="C10" s="76" t="s">
        <v>206</v>
      </c>
      <c r="D10" s="79">
        <v>15</v>
      </c>
      <c r="F10" s="5">
        <v>43612</v>
      </c>
      <c r="G10" s="9" t="s">
        <v>935</v>
      </c>
      <c r="H10" s="10" t="s">
        <v>936</v>
      </c>
      <c r="I10" s="23">
        <v>692.4</v>
      </c>
      <c r="K10" s="8">
        <v>43622</v>
      </c>
      <c r="L10" s="95">
        <v>5944</v>
      </c>
      <c r="M10" s="76" t="s">
        <v>384</v>
      </c>
      <c r="N10" s="79">
        <v>3699.67</v>
      </c>
    </row>
    <row r="11" spans="1:14" x14ac:dyDescent="0.25">
      <c r="A11" s="94">
        <v>703</v>
      </c>
      <c r="B11" s="95">
        <v>1924</v>
      </c>
      <c r="C11" s="76" t="s">
        <v>206</v>
      </c>
      <c r="D11" s="79">
        <v>9.85</v>
      </c>
      <c r="F11" s="5">
        <v>43640</v>
      </c>
      <c r="G11" s="10"/>
      <c r="H11" s="10" t="s">
        <v>937</v>
      </c>
      <c r="I11" s="23">
        <v>174.37</v>
      </c>
      <c r="K11" s="8">
        <v>43622</v>
      </c>
      <c r="L11" s="95">
        <v>5951</v>
      </c>
      <c r="M11" s="76" t="s">
        <v>387</v>
      </c>
      <c r="N11" s="79">
        <v>3880</v>
      </c>
    </row>
    <row r="12" spans="1:14" x14ac:dyDescent="0.25">
      <c r="A12" s="94">
        <v>703</v>
      </c>
      <c r="B12" s="95">
        <v>1925</v>
      </c>
      <c r="C12" s="76" t="s">
        <v>206</v>
      </c>
      <c r="D12" s="79">
        <v>40</v>
      </c>
      <c r="F12" s="5">
        <v>43642</v>
      </c>
      <c r="G12" s="9" t="s">
        <v>938</v>
      </c>
      <c r="H12" s="10" t="s">
        <v>936</v>
      </c>
      <c r="I12" s="23">
        <v>1133.32</v>
      </c>
      <c r="K12" s="8"/>
      <c r="L12" s="6"/>
      <c r="M12" s="7"/>
      <c r="N12" s="24"/>
    </row>
    <row r="13" spans="1:14" x14ac:dyDescent="0.25">
      <c r="A13" s="94">
        <v>703</v>
      </c>
      <c r="B13" s="95">
        <v>1927</v>
      </c>
      <c r="C13" s="76" t="s">
        <v>206</v>
      </c>
      <c r="D13" s="79">
        <v>29.65</v>
      </c>
      <c r="F13" s="5">
        <v>43738</v>
      </c>
      <c r="G13" s="9" t="s">
        <v>939</v>
      </c>
      <c r="H13" s="10" t="s">
        <v>940</v>
      </c>
      <c r="I13" s="23">
        <v>1831.96</v>
      </c>
      <c r="K13" s="8"/>
      <c r="L13" s="6"/>
      <c r="M13" s="7"/>
      <c r="N13" s="24"/>
    </row>
    <row r="14" spans="1:14" x14ac:dyDescent="0.25">
      <c r="A14" s="94">
        <v>1103</v>
      </c>
      <c r="B14" s="95">
        <v>1921</v>
      </c>
      <c r="C14" s="76" t="s">
        <v>206</v>
      </c>
      <c r="D14" s="79">
        <v>16.3</v>
      </c>
      <c r="F14" s="5">
        <v>43738</v>
      </c>
      <c r="G14" s="6"/>
      <c r="H14" s="10" t="s">
        <v>941</v>
      </c>
      <c r="I14" s="24">
        <f>(169.45+130.15)*0.7</f>
        <v>209.72</v>
      </c>
      <c r="K14" s="8"/>
      <c r="L14" s="6"/>
      <c r="M14" s="7"/>
      <c r="N14" s="24"/>
    </row>
    <row r="15" spans="1:14" x14ac:dyDescent="0.25">
      <c r="A15" s="94">
        <v>1503</v>
      </c>
      <c r="B15" s="95">
        <v>2369</v>
      </c>
      <c r="C15" s="76" t="s">
        <v>228</v>
      </c>
      <c r="D15" s="79">
        <v>37.200000000000003</v>
      </c>
      <c r="F15" s="5">
        <v>43739</v>
      </c>
      <c r="G15" s="6" t="s">
        <v>942</v>
      </c>
      <c r="H15" s="10" t="s">
        <v>943</v>
      </c>
      <c r="I15" s="24">
        <v>536.22</v>
      </c>
      <c r="K15" s="8"/>
      <c r="L15" s="6"/>
      <c r="M15" s="7"/>
      <c r="N15" s="24"/>
    </row>
    <row r="16" spans="1:14" x14ac:dyDescent="0.25">
      <c r="A16" s="94">
        <v>1503</v>
      </c>
      <c r="B16" s="95">
        <v>2370</v>
      </c>
      <c r="C16" s="76" t="s">
        <v>228</v>
      </c>
      <c r="D16" s="79">
        <v>19.96</v>
      </c>
      <c r="F16" s="5">
        <v>43739</v>
      </c>
      <c r="G16" s="6" t="s">
        <v>944</v>
      </c>
      <c r="H16" s="10" t="s">
        <v>945</v>
      </c>
      <c r="I16" s="24">
        <v>536.22</v>
      </c>
      <c r="K16" s="8"/>
      <c r="L16" s="6"/>
      <c r="M16" s="7"/>
      <c r="N16" s="24"/>
    </row>
    <row r="17" spans="1:14" x14ac:dyDescent="0.25">
      <c r="A17" s="94">
        <v>1503</v>
      </c>
      <c r="B17" s="95">
        <v>2371</v>
      </c>
      <c r="C17" s="76" t="s">
        <v>231</v>
      </c>
      <c r="D17" s="79">
        <v>148.25</v>
      </c>
      <c r="F17" s="5">
        <v>43739</v>
      </c>
      <c r="G17" s="6"/>
      <c r="H17" s="7" t="s">
        <v>946</v>
      </c>
      <c r="I17" s="24">
        <v>320.7</v>
      </c>
      <c r="K17" s="8"/>
      <c r="L17" s="6"/>
      <c r="M17" s="7"/>
      <c r="N17" s="24"/>
    </row>
    <row r="18" spans="1:14" x14ac:dyDescent="0.25">
      <c r="A18" s="94">
        <v>1803</v>
      </c>
      <c r="B18" s="95">
        <v>2418</v>
      </c>
      <c r="C18" s="76" t="s">
        <v>231</v>
      </c>
      <c r="D18" s="79">
        <v>75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94">
        <v>1803</v>
      </c>
      <c r="B19" s="95">
        <v>2421</v>
      </c>
      <c r="C19" s="76" t="s">
        <v>231</v>
      </c>
      <c r="D19" s="79">
        <v>14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94">
        <v>1803</v>
      </c>
      <c r="B20" s="95">
        <v>2423</v>
      </c>
      <c r="C20" s="76" t="s">
        <v>231</v>
      </c>
      <c r="D20" s="79">
        <v>49.94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94">
        <v>1803</v>
      </c>
      <c r="B21" s="95">
        <v>2434</v>
      </c>
      <c r="C21" s="76" t="s">
        <v>236</v>
      </c>
      <c r="D21" s="79">
        <v>108.13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94">
        <v>1803</v>
      </c>
      <c r="B22" s="95">
        <v>2435</v>
      </c>
      <c r="C22" s="76" t="s">
        <v>236</v>
      </c>
      <c r="D22" s="79">
        <v>35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43556</v>
      </c>
      <c r="B23" s="95">
        <v>3054</v>
      </c>
      <c r="C23" s="76" t="s">
        <v>206</v>
      </c>
      <c r="D23" s="79">
        <v>60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43557</v>
      </c>
      <c r="B24" s="95">
        <v>4027</v>
      </c>
      <c r="C24" s="7" t="s">
        <v>705</v>
      </c>
      <c r="D24" s="23">
        <v>141.32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43557</v>
      </c>
      <c r="B25" s="71"/>
      <c r="C25" s="7" t="s">
        <v>692</v>
      </c>
      <c r="D25" s="23">
        <v>-1442.22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43558</v>
      </c>
      <c r="B26" s="95">
        <v>3235</v>
      </c>
      <c r="C26" s="76" t="s">
        <v>267</v>
      </c>
      <c r="D26" s="79">
        <v>45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43559</v>
      </c>
      <c r="B27" s="95">
        <v>3282</v>
      </c>
      <c r="C27" s="76" t="s">
        <v>274</v>
      </c>
      <c r="D27" s="79">
        <v>660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>
        <v>43565</v>
      </c>
      <c r="B28" s="95">
        <v>4559</v>
      </c>
      <c r="C28" s="7" t="s">
        <v>705</v>
      </c>
      <c r="D28" s="23">
        <v>88.629999999999981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>
        <v>43565</v>
      </c>
      <c r="B29" s="95">
        <v>4563</v>
      </c>
      <c r="C29" s="7" t="s">
        <v>705</v>
      </c>
      <c r="D29" s="23">
        <v>45.8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>
        <v>43565</v>
      </c>
      <c r="B30" s="95">
        <v>4572</v>
      </c>
      <c r="C30" s="7" t="s">
        <v>705</v>
      </c>
      <c r="D30" s="23">
        <v>107.84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>
        <v>43565</v>
      </c>
      <c r="B31" s="95">
        <v>4579</v>
      </c>
      <c r="C31" s="7" t="s">
        <v>705</v>
      </c>
      <c r="D31" s="23">
        <v>197.39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43566</v>
      </c>
      <c r="B32" s="71"/>
      <c r="C32" s="10" t="s">
        <v>947</v>
      </c>
      <c r="D32" s="23">
        <v>2526.71</v>
      </c>
    </row>
    <row r="33" spans="1:4" x14ac:dyDescent="0.25">
      <c r="A33" s="5">
        <v>43572</v>
      </c>
      <c r="B33" s="95">
        <v>4955</v>
      </c>
      <c r="C33" s="7" t="s">
        <v>705</v>
      </c>
      <c r="D33" s="23">
        <v>34.35</v>
      </c>
    </row>
    <row r="34" spans="1:4" x14ac:dyDescent="0.25">
      <c r="A34" s="5">
        <v>43572</v>
      </c>
      <c r="B34" s="95">
        <v>4956</v>
      </c>
      <c r="C34" s="7" t="s">
        <v>705</v>
      </c>
      <c r="D34" s="23">
        <v>59</v>
      </c>
    </row>
    <row r="35" spans="1:4" x14ac:dyDescent="0.25">
      <c r="A35" s="5">
        <v>43572</v>
      </c>
      <c r="B35" s="95">
        <v>4987</v>
      </c>
      <c r="C35" s="7" t="s">
        <v>705</v>
      </c>
      <c r="D35" s="23">
        <v>15.62</v>
      </c>
    </row>
    <row r="36" spans="1:4" x14ac:dyDescent="0.25">
      <c r="A36" s="5">
        <v>43572</v>
      </c>
      <c r="B36" s="95">
        <v>4992</v>
      </c>
      <c r="C36" s="7" t="s">
        <v>705</v>
      </c>
      <c r="D36" s="23">
        <v>65.959999999999994</v>
      </c>
    </row>
    <row r="37" spans="1:4" x14ac:dyDescent="0.25">
      <c r="A37" s="5">
        <v>43581</v>
      </c>
      <c r="B37" s="10"/>
      <c r="C37" s="10" t="s">
        <v>948</v>
      </c>
      <c r="D37" s="23">
        <v>50</v>
      </c>
    </row>
    <row r="38" spans="1:4" x14ac:dyDescent="0.25">
      <c r="A38" s="5">
        <v>43581</v>
      </c>
      <c r="B38" s="10"/>
      <c r="C38" s="10" t="s">
        <v>949</v>
      </c>
      <c r="D38" s="23">
        <v>20</v>
      </c>
    </row>
    <row r="39" spans="1:4" x14ac:dyDescent="0.25">
      <c r="A39" s="5">
        <v>43581</v>
      </c>
      <c r="B39" s="10"/>
      <c r="C39" s="10" t="s">
        <v>950</v>
      </c>
      <c r="D39" s="23">
        <v>20</v>
      </c>
    </row>
    <row r="40" spans="1:4" x14ac:dyDescent="0.25">
      <c r="A40" s="5">
        <v>43581</v>
      </c>
      <c r="B40" s="10"/>
      <c r="C40" s="10" t="s">
        <v>951</v>
      </c>
      <c r="D40" s="23">
        <f>25+35+100</f>
        <v>160</v>
      </c>
    </row>
    <row r="41" spans="1:4" x14ac:dyDescent="0.25">
      <c r="A41" s="5">
        <v>43581</v>
      </c>
      <c r="B41" s="10"/>
      <c r="C41" s="10" t="s">
        <v>952</v>
      </c>
      <c r="D41" s="23">
        <v>50</v>
      </c>
    </row>
    <row r="42" spans="1:4" x14ac:dyDescent="0.25">
      <c r="A42" s="5">
        <v>43581</v>
      </c>
      <c r="B42" s="95">
        <v>5404</v>
      </c>
      <c r="C42" s="7" t="s">
        <v>705</v>
      </c>
      <c r="D42" s="23">
        <v>233.34</v>
      </c>
    </row>
    <row r="43" spans="1:4" x14ac:dyDescent="0.25">
      <c r="A43" s="5">
        <v>43587</v>
      </c>
      <c r="B43" s="95">
        <v>4400</v>
      </c>
      <c r="C43" s="76" t="s">
        <v>328</v>
      </c>
      <c r="D43" s="79">
        <v>299.86</v>
      </c>
    </row>
    <row r="44" spans="1:4" x14ac:dyDescent="0.25">
      <c r="A44" s="5">
        <v>43588</v>
      </c>
      <c r="B44" s="95">
        <v>4406</v>
      </c>
      <c r="C44" s="76" t="s">
        <v>328</v>
      </c>
      <c r="D44" s="79">
        <v>110.96</v>
      </c>
    </row>
    <row r="45" spans="1:4" x14ac:dyDescent="0.25">
      <c r="A45" s="5">
        <v>43588</v>
      </c>
      <c r="B45" s="95">
        <v>4407</v>
      </c>
      <c r="C45" s="76" t="s">
        <v>330</v>
      </c>
      <c r="D45" s="79">
        <v>50</v>
      </c>
    </row>
    <row r="46" spans="1:4" x14ac:dyDescent="0.25">
      <c r="A46" s="5">
        <v>43588</v>
      </c>
      <c r="B46" s="95">
        <v>4408</v>
      </c>
      <c r="C46" s="76" t="s">
        <v>330</v>
      </c>
      <c r="D46" s="79">
        <v>133.93</v>
      </c>
    </row>
    <row r="47" spans="1:4" x14ac:dyDescent="0.25">
      <c r="A47" s="5">
        <v>43592</v>
      </c>
      <c r="B47" s="95">
        <v>4551</v>
      </c>
      <c r="C47" s="76" t="s">
        <v>330</v>
      </c>
      <c r="D47" s="79">
        <v>25.05</v>
      </c>
    </row>
    <row r="48" spans="1:4" x14ac:dyDescent="0.25">
      <c r="A48" s="5">
        <v>43598</v>
      </c>
      <c r="B48" s="95">
        <v>6249</v>
      </c>
      <c r="C48" s="7" t="s">
        <v>705</v>
      </c>
      <c r="D48" s="23">
        <v>77.61</v>
      </c>
    </row>
    <row r="49" spans="1:4" x14ac:dyDescent="0.25">
      <c r="A49" s="5">
        <v>43598</v>
      </c>
      <c r="B49" s="95">
        <v>6250</v>
      </c>
      <c r="C49" s="7" t="s">
        <v>705</v>
      </c>
      <c r="D49" s="23">
        <v>34.35</v>
      </c>
    </row>
    <row r="50" spans="1:4" x14ac:dyDescent="0.25">
      <c r="A50" s="5">
        <v>43598</v>
      </c>
      <c r="B50" s="95">
        <v>4872</v>
      </c>
      <c r="C50" s="10" t="s">
        <v>345</v>
      </c>
      <c r="D50" s="77">
        <v>45.72</v>
      </c>
    </row>
    <row r="51" spans="1:4" x14ac:dyDescent="0.25">
      <c r="A51" s="5">
        <v>43599</v>
      </c>
      <c r="B51" s="95">
        <v>6273</v>
      </c>
      <c r="C51" s="7" t="s">
        <v>705</v>
      </c>
      <c r="D51" s="23">
        <v>95.1</v>
      </c>
    </row>
    <row r="52" spans="1:4" x14ac:dyDescent="0.25">
      <c r="A52" s="5">
        <v>43601</v>
      </c>
      <c r="B52" s="95">
        <v>6393</v>
      </c>
      <c r="C52" s="7" t="s">
        <v>705</v>
      </c>
      <c r="D52" s="23">
        <v>89.46</v>
      </c>
    </row>
    <row r="53" spans="1:4" x14ac:dyDescent="0.25">
      <c r="A53" s="5">
        <v>43595</v>
      </c>
      <c r="B53" s="95">
        <v>6164</v>
      </c>
      <c r="C53" s="7" t="s">
        <v>705</v>
      </c>
      <c r="D53" s="23">
        <v>311.64</v>
      </c>
    </row>
    <row r="54" spans="1:4" x14ac:dyDescent="0.25">
      <c r="A54" s="5">
        <v>43606</v>
      </c>
      <c r="B54" s="71"/>
      <c r="C54" s="10" t="s">
        <v>953</v>
      </c>
      <c r="D54" s="23">
        <v>79.739999999999981</v>
      </c>
    </row>
    <row r="55" spans="1:4" x14ac:dyDescent="0.25">
      <c r="A55" s="5">
        <v>43614</v>
      </c>
      <c r="B55" s="95">
        <v>6953</v>
      </c>
      <c r="C55" s="7" t="s">
        <v>705</v>
      </c>
      <c r="D55" s="23">
        <v>197.81</v>
      </c>
    </row>
    <row r="56" spans="1:4" x14ac:dyDescent="0.25">
      <c r="A56" s="5">
        <v>43614</v>
      </c>
      <c r="B56" s="95">
        <v>7039</v>
      </c>
      <c r="C56" s="7" t="s">
        <v>705</v>
      </c>
      <c r="D56" s="23">
        <v>6.75</v>
      </c>
    </row>
    <row r="57" spans="1:4" x14ac:dyDescent="0.25">
      <c r="A57" s="5">
        <v>43620</v>
      </c>
      <c r="B57" s="95">
        <v>7250</v>
      </c>
      <c r="C57" s="7" t="s">
        <v>705</v>
      </c>
      <c r="D57" s="23">
        <v>141.63</v>
      </c>
    </row>
    <row r="58" spans="1:4" x14ac:dyDescent="0.25">
      <c r="A58" s="5">
        <v>43620</v>
      </c>
      <c r="B58" s="95">
        <v>7253</v>
      </c>
      <c r="C58" s="7" t="s">
        <v>705</v>
      </c>
      <c r="D58" s="23">
        <v>34.35</v>
      </c>
    </row>
    <row r="59" spans="1:4" x14ac:dyDescent="0.25">
      <c r="A59" s="5">
        <v>43620</v>
      </c>
      <c r="B59" s="95">
        <v>7266</v>
      </c>
      <c r="C59" s="7" t="s">
        <v>705</v>
      </c>
      <c r="D59" s="23">
        <v>28.8</v>
      </c>
    </row>
    <row r="60" spans="1:4" x14ac:dyDescent="0.25">
      <c r="A60" s="5">
        <v>43620</v>
      </c>
      <c r="B60" s="95">
        <v>7285</v>
      </c>
      <c r="C60" s="7" t="s">
        <v>705</v>
      </c>
      <c r="D60" s="23">
        <v>74.34</v>
      </c>
    </row>
    <row r="61" spans="1:4" x14ac:dyDescent="0.25">
      <c r="A61" s="5">
        <v>43622</v>
      </c>
      <c r="B61" s="95">
        <v>7338</v>
      </c>
      <c r="C61" s="7" t="s">
        <v>705</v>
      </c>
      <c r="D61" s="23">
        <v>231.48</v>
      </c>
    </row>
    <row r="62" spans="1:4" x14ac:dyDescent="0.25">
      <c r="A62" s="5">
        <v>43628</v>
      </c>
      <c r="B62" s="95">
        <v>7696</v>
      </c>
      <c r="C62" s="7" t="s">
        <v>705</v>
      </c>
      <c r="D62" s="23">
        <v>22.9</v>
      </c>
    </row>
    <row r="63" spans="1:4" x14ac:dyDescent="0.25">
      <c r="A63" s="5">
        <v>43628</v>
      </c>
      <c r="B63" s="95">
        <v>7753</v>
      </c>
      <c r="C63" s="7" t="s">
        <v>705</v>
      </c>
      <c r="D63" s="23">
        <v>466.19</v>
      </c>
    </row>
    <row r="64" spans="1:4" x14ac:dyDescent="0.25">
      <c r="A64" s="5">
        <v>43629</v>
      </c>
      <c r="B64" s="95">
        <v>7868</v>
      </c>
      <c r="C64" s="7" t="s">
        <v>705</v>
      </c>
      <c r="D64" s="24">
        <v>507.39</v>
      </c>
    </row>
    <row r="65" spans="1:4" x14ac:dyDescent="0.25">
      <c r="A65" s="5">
        <v>43634</v>
      </c>
      <c r="B65" s="95">
        <v>6583</v>
      </c>
      <c r="C65" s="76" t="s">
        <v>408</v>
      </c>
      <c r="D65" s="79">
        <v>307.8</v>
      </c>
    </row>
    <row r="66" spans="1:4" x14ac:dyDescent="0.25">
      <c r="A66" s="5">
        <v>43629</v>
      </c>
      <c r="B66" s="95">
        <v>7894</v>
      </c>
      <c r="C66" s="7" t="s">
        <v>705</v>
      </c>
      <c r="D66" s="23">
        <v>38.14</v>
      </c>
    </row>
    <row r="67" spans="1:4" x14ac:dyDescent="0.25">
      <c r="A67" s="5">
        <v>43640</v>
      </c>
      <c r="B67" s="95">
        <v>6757</v>
      </c>
      <c r="C67" s="76" t="s">
        <v>411</v>
      </c>
      <c r="D67" s="79">
        <v>160.77000000000001</v>
      </c>
    </row>
    <row r="68" spans="1:4" x14ac:dyDescent="0.25">
      <c r="A68" s="5">
        <v>43647</v>
      </c>
      <c r="B68" s="95">
        <v>8343</v>
      </c>
      <c r="C68" s="7" t="s">
        <v>705</v>
      </c>
      <c r="D68" s="23">
        <v>175.68</v>
      </c>
    </row>
    <row r="69" spans="1:4" x14ac:dyDescent="0.25">
      <c r="A69" s="5">
        <v>43650</v>
      </c>
      <c r="B69" s="95">
        <v>8597</v>
      </c>
      <c r="C69" s="7" t="s">
        <v>705</v>
      </c>
      <c r="D69" s="23">
        <v>41.61</v>
      </c>
    </row>
    <row r="70" spans="1:4" x14ac:dyDescent="0.25">
      <c r="A70" s="5">
        <v>43658</v>
      </c>
      <c r="B70" s="95">
        <v>9026</v>
      </c>
      <c r="C70" s="7" t="s">
        <v>705</v>
      </c>
      <c r="D70" s="23">
        <v>326.81</v>
      </c>
    </row>
    <row r="71" spans="1:4" x14ac:dyDescent="0.25">
      <c r="A71" s="5">
        <v>43658</v>
      </c>
      <c r="B71" s="95">
        <v>9027</v>
      </c>
      <c r="C71" s="7" t="s">
        <v>705</v>
      </c>
      <c r="D71" s="23">
        <v>34.35</v>
      </c>
    </row>
    <row r="72" spans="1:4" x14ac:dyDescent="0.25">
      <c r="A72" s="5">
        <v>43662</v>
      </c>
      <c r="B72" s="95">
        <v>9138</v>
      </c>
      <c r="C72" s="7" t="s">
        <v>705</v>
      </c>
      <c r="D72" s="23">
        <v>140.54</v>
      </c>
    </row>
    <row r="73" spans="1:4" x14ac:dyDescent="0.25">
      <c r="A73" s="5">
        <v>43664</v>
      </c>
      <c r="B73" s="95">
        <v>9219</v>
      </c>
      <c r="C73" s="7" t="s">
        <v>705</v>
      </c>
      <c r="D73" s="23">
        <v>74.36</v>
      </c>
    </row>
    <row r="74" spans="1:4" x14ac:dyDescent="0.25">
      <c r="A74" s="5">
        <v>43665</v>
      </c>
      <c r="B74" s="95">
        <v>9342</v>
      </c>
      <c r="C74" s="7" t="s">
        <v>705</v>
      </c>
      <c r="D74" s="23">
        <v>34.35</v>
      </c>
    </row>
    <row r="75" spans="1:4" x14ac:dyDescent="0.25">
      <c r="A75" s="5">
        <v>43675</v>
      </c>
      <c r="B75" s="95">
        <v>9367</v>
      </c>
      <c r="C75" s="7" t="s">
        <v>954</v>
      </c>
      <c r="D75" s="23">
        <v>-120</v>
      </c>
    </row>
    <row r="76" spans="1:4" x14ac:dyDescent="0.25">
      <c r="A76" s="5">
        <v>43675</v>
      </c>
      <c r="B76" s="95" t="s">
        <v>955</v>
      </c>
      <c r="C76" s="7" t="s">
        <v>956</v>
      </c>
      <c r="D76" s="23">
        <v>242</v>
      </c>
    </row>
    <row r="77" spans="1:4" x14ac:dyDescent="0.25">
      <c r="A77" s="5">
        <v>43682</v>
      </c>
      <c r="B77" s="95">
        <v>9916</v>
      </c>
      <c r="C77" s="7" t="s">
        <v>705</v>
      </c>
      <c r="D77" s="23">
        <v>71.42</v>
      </c>
    </row>
    <row r="78" spans="1:4" x14ac:dyDescent="0.25">
      <c r="A78" s="5">
        <v>43689</v>
      </c>
      <c r="B78" s="95">
        <v>10274</v>
      </c>
      <c r="C78" s="7" t="s">
        <v>705</v>
      </c>
      <c r="D78" s="23">
        <v>20.6</v>
      </c>
    </row>
    <row r="79" spans="1:4" x14ac:dyDescent="0.25">
      <c r="A79" s="68">
        <v>1408</v>
      </c>
      <c r="B79" s="71"/>
      <c r="C79" s="10" t="s">
        <v>957</v>
      </c>
      <c r="D79" s="23">
        <v>260</v>
      </c>
    </row>
    <row r="80" spans="1:4" x14ac:dyDescent="0.25">
      <c r="A80" s="68">
        <v>1408</v>
      </c>
      <c r="B80" s="71"/>
      <c r="C80" s="10" t="s">
        <v>958</v>
      </c>
      <c r="D80" s="23">
        <v>50</v>
      </c>
    </row>
    <row r="81" spans="1:4" x14ac:dyDescent="0.25">
      <c r="A81" s="5">
        <v>43691</v>
      </c>
      <c r="B81" s="71"/>
      <c r="C81" s="10" t="s">
        <v>959</v>
      </c>
      <c r="D81" s="23">
        <v>18.16</v>
      </c>
    </row>
    <row r="82" spans="1:4" x14ac:dyDescent="0.25">
      <c r="A82" s="5">
        <v>43693</v>
      </c>
      <c r="B82" s="95">
        <v>10466</v>
      </c>
      <c r="C82" s="7" t="s">
        <v>705</v>
      </c>
      <c r="D82" s="23">
        <v>33.619999999999997</v>
      </c>
    </row>
    <row r="83" spans="1:4" x14ac:dyDescent="0.25">
      <c r="A83" s="5">
        <v>43696</v>
      </c>
      <c r="B83" s="95"/>
      <c r="C83" s="7" t="s">
        <v>960</v>
      </c>
      <c r="D83" s="23">
        <v>714.91</v>
      </c>
    </row>
    <row r="84" spans="1:4" x14ac:dyDescent="0.25">
      <c r="A84" s="5">
        <v>43697</v>
      </c>
      <c r="B84" s="95">
        <v>10659</v>
      </c>
      <c r="C84" s="7" t="s">
        <v>705</v>
      </c>
      <c r="D84" s="23">
        <v>116.39</v>
      </c>
    </row>
    <row r="85" spans="1:4" x14ac:dyDescent="0.25">
      <c r="A85" s="5">
        <v>43697</v>
      </c>
      <c r="B85" s="95">
        <v>10666</v>
      </c>
      <c r="C85" s="7" t="s">
        <v>705</v>
      </c>
      <c r="D85" s="23">
        <v>130.13</v>
      </c>
    </row>
    <row r="86" spans="1:4" x14ac:dyDescent="0.25">
      <c r="A86" s="5">
        <v>43697</v>
      </c>
      <c r="B86" s="95">
        <v>10675</v>
      </c>
      <c r="C86" s="7" t="s">
        <v>705</v>
      </c>
      <c r="D86" s="23">
        <v>112.25</v>
      </c>
    </row>
    <row r="87" spans="1:4" x14ac:dyDescent="0.25">
      <c r="A87" s="5">
        <v>43697</v>
      </c>
      <c r="B87" s="95">
        <v>10685</v>
      </c>
      <c r="C87" s="7" t="s">
        <v>705</v>
      </c>
      <c r="D87" s="23">
        <v>34.35</v>
      </c>
    </row>
    <row r="88" spans="1:4" x14ac:dyDescent="0.25">
      <c r="A88" s="5">
        <v>43697</v>
      </c>
      <c r="B88" s="95">
        <v>10686</v>
      </c>
      <c r="C88" s="7" t="s">
        <v>705</v>
      </c>
      <c r="D88" s="23">
        <v>175.66</v>
      </c>
    </row>
    <row r="89" spans="1:4" x14ac:dyDescent="0.25">
      <c r="A89" s="5">
        <v>43698</v>
      </c>
      <c r="B89" s="95">
        <v>9789</v>
      </c>
      <c r="C89" s="76" t="s">
        <v>469</v>
      </c>
      <c r="D89" s="79">
        <v>139</v>
      </c>
    </row>
    <row r="90" spans="1:4" x14ac:dyDescent="0.25">
      <c r="A90" s="5">
        <v>43700</v>
      </c>
      <c r="B90" s="95">
        <v>10880</v>
      </c>
      <c r="C90" s="7" t="s">
        <v>705</v>
      </c>
      <c r="D90" s="23">
        <v>14.25</v>
      </c>
    </row>
    <row r="91" spans="1:4" x14ac:dyDescent="0.25">
      <c r="A91" s="5">
        <v>43706</v>
      </c>
      <c r="B91" s="95">
        <v>11166</v>
      </c>
      <c r="C91" s="7" t="s">
        <v>705</v>
      </c>
      <c r="D91" s="23">
        <v>39.729999999999997</v>
      </c>
    </row>
    <row r="92" spans="1:4" x14ac:dyDescent="0.25">
      <c r="A92" s="5">
        <v>43706</v>
      </c>
      <c r="B92" s="95">
        <v>11154</v>
      </c>
      <c r="C92" s="7" t="s">
        <v>705</v>
      </c>
      <c r="D92" s="23">
        <v>52.48</v>
      </c>
    </row>
    <row r="93" spans="1:4" x14ac:dyDescent="0.25">
      <c r="A93" s="5">
        <v>43706</v>
      </c>
      <c r="B93" s="95">
        <v>11155</v>
      </c>
      <c r="C93" s="7" t="s">
        <v>705</v>
      </c>
      <c r="D93" s="23">
        <v>462.31</v>
      </c>
    </row>
    <row r="94" spans="1:4" x14ac:dyDescent="0.25">
      <c r="A94" s="5">
        <v>43711</v>
      </c>
      <c r="B94" s="95">
        <v>11352</v>
      </c>
      <c r="C94" s="7" t="s">
        <v>705</v>
      </c>
      <c r="D94" s="23">
        <v>197.11</v>
      </c>
    </row>
    <row r="95" spans="1:4" x14ac:dyDescent="0.25">
      <c r="A95" s="94">
        <v>309</v>
      </c>
      <c r="B95" s="95">
        <v>10653</v>
      </c>
      <c r="C95" s="76" t="s">
        <v>480</v>
      </c>
      <c r="D95" s="79">
        <v>201.45</v>
      </c>
    </row>
    <row r="96" spans="1:4" x14ac:dyDescent="0.25">
      <c r="A96" s="94">
        <v>309</v>
      </c>
      <c r="B96" s="95">
        <v>10655</v>
      </c>
      <c r="C96" s="76" t="s">
        <v>480</v>
      </c>
      <c r="D96" s="79">
        <v>119.99</v>
      </c>
    </row>
    <row r="97" spans="1:4" x14ac:dyDescent="0.25">
      <c r="A97" s="94">
        <v>309</v>
      </c>
      <c r="B97" s="95">
        <v>10657</v>
      </c>
      <c r="C97" s="76" t="s">
        <v>480</v>
      </c>
      <c r="D97" s="79">
        <v>28.22</v>
      </c>
    </row>
    <row r="98" spans="1:4" x14ac:dyDescent="0.25">
      <c r="A98" s="5">
        <v>43712</v>
      </c>
      <c r="B98" s="95">
        <v>11485</v>
      </c>
      <c r="C98" s="7" t="s">
        <v>705</v>
      </c>
      <c r="D98" s="23">
        <v>466.74</v>
      </c>
    </row>
    <row r="99" spans="1:4" x14ac:dyDescent="0.25">
      <c r="A99" s="5">
        <v>43712</v>
      </c>
      <c r="B99" s="95">
        <v>11493</v>
      </c>
      <c r="C99" s="7" t="s">
        <v>705</v>
      </c>
      <c r="D99" s="23">
        <v>45.53</v>
      </c>
    </row>
    <row r="100" spans="1:4" x14ac:dyDescent="0.25">
      <c r="A100" s="5">
        <v>43718</v>
      </c>
      <c r="B100" s="95">
        <v>11767</v>
      </c>
      <c r="C100" s="7" t="s">
        <v>705</v>
      </c>
      <c r="D100" s="23">
        <v>306.73</v>
      </c>
    </row>
    <row r="101" spans="1:4" x14ac:dyDescent="0.25">
      <c r="A101" s="5">
        <v>43718</v>
      </c>
      <c r="B101" s="95">
        <v>11772</v>
      </c>
      <c r="C101" s="7" t="s">
        <v>705</v>
      </c>
      <c r="D101" s="23">
        <v>129.49</v>
      </c>
    </row>
    <row r="102" spans="1:4" x14ac:dyDescent="0.25">
      <c r="A102" s="5">
        <v>43718</v>
      </c>
      <c r="B102" s="95">
        <v>11778</v>
      </c>
      <c r="C102" s="7" t="s">
        <v>705</v>
      </c>
      <c r="D102" s="23">
        <v>280.51</v>
      </c>
    </row>
    <row r="103" spans="1:4" x14ac:dyDescent="0.25">
      <c r="A103" s="5">
        <v>43718</v>
      </c>
      <c r="B103" s="95">
        <v>11783</v>
      </c>
      <c r="C103" s="7" t="s">
        <v>705</v>
      </c>
      <c r="D103" s="23">
        <v>586.86</v>
      </c>
    </row>
    <row r="104" spans="1:4" x14ac:dyDescent="0.25">
      <c r="A104" s="94">
        <v>1109</v>
      </c>
      <c r="B104" s="95">
        <v>11248</v>
      </c>
      <c r="C104" s="76" t="s">
        <v>503</v>
      </c>
      <c r="D104" s="79">
        <v>224.5</v>
      </c>
    </row>
    <row r="105" spans="1:4" x14ac:dyDescent="0.25">
      <c r="A105" s="94">
        <v>1109</v>
      </c>
      <c r="B105" s="95">
        <v>11255</v>
      </c>
      <c r="C105" s="76" t="s">
        <v>503</v>
      </c>
      <c r="D105" s="79">
        <v>21.18</v>
      </c>
    </row>
    <row r="106" spans="1:4" x14ac:dyDescent="0.25">
      <c r="A106" s="94">
        <v>1109</v>
      </c>
      <c r="B106" s="95">
        <v>11258</v>
      </c>
      <c r="C106" s="76" t="s">
        <v>503</v>
      </c>
      <c r="D106" s="79">
        <v>40.39</v>
      </c>
    </row>
    <row r="107" spans="1:4" x14ac:dyDescent="0.25">
      <c r="A107" s="94">
        <v>1109</v>
      </c>
      <c r="B107" s="95">
        <v>11262</v>
      </c>
      <c r="C107" s="76" t="s">
        <v>504</v>
      </c>
      <c r="D107" s="79">
        <v>45.72</v>
      </c>
    </row>
    <row r="108" spans="1:4" x14ac:dyDescent="0.25">
      <c r="A108" s="94">
        <v>1109</v>
      </c>
      <c r="B108" s="95">
        <v>11270</v>
      </c>
      <c r="C108" s="76" t="s">
        <v>504</v>
      </c>
      <c r="D108" s="79">
        <v>16.989999999999998</v>
      </c>
    </row>
    <row r="109" spans="1:4" x14ac:dyDescent="0.25">
      <c r="A109" s="5">
        <v>43720</v>
      </c>
      <c r="B109" s="95">
        <v>11309</v>
      </c>
      <c r="C109" s="76" t="s">
        <v>505</v>
      </c>
      <c r="D109" s="79">
        <v>30</v>
      </c>
    </row>
    <row r="110" spans="1:4" x14ac:dyDescent="0.25">
      <c r="A110" s="5">
        <v>43720</v>
      </c>
      <c r="B110" s="95"/>
      <c r="C110" s="76" t="s">
        <v>961</v>
      </c>
      <c r="D110" s="23">
        <v>101.85</v>
      </c>
    </row>
    <row r="111" spans="1:4" x14ac:dyDescent="0.25">
      <c r="A111" s="5">
        <v>43724</v>
      </c>
      <c r="B111" s="95">
        <v>12041</v>
      </c>
      <c r="C111" s="7" t="s">
        <v>705</v>
      </c>
      <c r="D111" s="23">
        <v>133.96</v>
      </c>
    </row>
    <row r="112" spans="1:4" x14ac:dyDescent="0.25">
      <c r="A112" s="94">
        <v>1609</v>
      </c>
      <c r="B112" s="95">
        <v>11566</v>
      </c>
      <c r="C112" s="76" t="s">
        <v>507</v>
      </c>
      <c r="D112" s="79">
        <v>29.2</v>
      </c>
    </row>
    <row r="113" spans="1:4" x14ac:dyDescent="0.25">
      <c r="A113" s="94">
        <v>1609</v>
      </c>
      <c r="B113" s="95">
        <v>11568</v>
      </c>
      <c r="C113" s="76" t="s">
        <v>507</v>
      </c>
      <c r="D113" s="79">
        <v>101.85</v>
      </c>
    </row>
    <row r="114" spans="1:4" x14ac:dyDescent="0.25">
      <c r="A114" s="5">
        <v>43726</v>
      </c>
      <c r="B114" s="95"/>
      <c r="C114" s="7" t="s">
        <v>710</v>
      </c>
      <c r="D114" s="23">
        <v>2940.04</v>
      </c>
    </row>
    <row r="115" spans="1:4" x14ac:dyDescent="0.25">
      <c r="A115" s="94">
        <v>2409</v>
      </c>
      <c r="B115" s="95">
        <v>11945</v>
      </c>
      <c r="C115" s="76" t="s">
        <v>505</v>
      </c>
      <c r="D115" s="79">
        <v>24.63</v>
      </c>
    </row>
    <row r="116" spans="1:4" x14ac:dyDescent="0.25">
      <c r="A116" s="94">
        <v>2409</v>
      </c>
      <c r="B116" s="95">
        <v>11947</v>
      </c>
      <c r="C116" s="76" t="s">
        <v>505</v>
      </c>
      <c r="D116" s="79">
        <v>71</v>
      </c>
    </row>
    <row r="117" spans="1:4" x14ac:dyDescent="0.25">
      <c r="A117" s="5">
        <v>43739</v>
      </c>
      <c r="B117" s="95">
        <v>12673</v>
      </c>
      <c r="C117" s="76" t="s">
        <v>543</v>
      </c>
      <c r="D117" s="79">
        <v>49.8</v>
      </c>
    </row>
    <row r="118" spans="1:4" x14ac:dyDescent="0.25">
      <c r="A118" s="5">
        <v>43742</v>
      </c>
      <c r="B118" s="95"/>
      <c r="C118" s="7" t="s">
        <v>698</v>
      </c>
      <c r="D118" s="23">
        <v>180</v>
      </c>
    </row>
    <row r="119" spans="1:4" x14ac:dyDescent="0.25">
      <c r="A119" s="5">
        <v>43759</v>
      </c>
      <c r="B119" s="6"/>
      <c r="C119" s="7" t="s">
        <v>701</v>
      </c>
      <c r="D119" s="23">
        <v>307.48</v>
      </c>
    </row>
    <row r="120" spans="1:4" x14ac:dyDescent="0.25">
      <c r="A120" s="5"/>
      <c r="B120" s="95"/>
      <c r="C120" s="7"/>
      <c r="D120" s="23"/>
    </row>
    <row r="121" spans="1:4" x14ac:dyDescent="0.25">
      <c r="A121" s="5"/>
      <c r="B121" s="95"/>
      <c r="C121" s="7"/>
      <c r="D121" s="23"/>
    </row>
    <row r="130" spans="1:4" x14ac:dyDescent="0.25">
      <c r="A130" s="232" t="s">
        <v>718</v>
      </c>
      <c r="B130" s="232"/>
      <c r="C130" s="232"/>
      <c r="D130" s="148">
        <f>D114</f>
        <v>2940.04</v>
      </c>
    </row>
    <row r="131" spans="1:4" x14ac:dyDescent="0.25">
      <c r="A131" s="5">
        <v>43732</v>
      </c>
      <c r="B131" s="95">
        <v>12378</v>
      </c>
      <c r="C131" s="7" t="s">
        <v>705</v>
      </c>
      <c r="D131" s="23">
        <v>1.4</v>
      </c>
    </row>
    <row r="132" spans="1:4" x14ac:dyDescent="0.25">
      <c r="A132" s="5">
        <v>43748</v>
      </c>
      <c r="B132" s="95">
        <v>13122</v>
      </c>
      <c r="C132" s="7" t="s">
        <v>705</v>
      </c>
      <c r="D132" s="23">
        <v>4.95</v>
      </c>
    </row>
    <row r="133" spans="1:4" x14ac:dyDescent="0.25">
      <c r="A133" s="5">
        <v>43763</v>
      </c>
      <c r="B133" s="95">
        <v>14015</v>
      </c>
      <c r="C133" s="7" t="s">
        <v>705</v>
      </c>
      <c r="D133" s="23">
        <v>13.54</v>
      </c>
    </row>
    <row r="134" spans="1:4" x14ac:dyDescent="0.25">
      <c r="A134" s="5">
        <v>43763</v>
      </c>
      <c r="B134" s="95">
        <v>14017</v>
      </c>
      <c r="C134" s="7" t="s">
        <v>705</v>
      </c>
      <c r="D134" s="23">
        <v>7.8499999999999988</v>
      </c>
    </row>
    <row r="135" spans="1:4" x14ac:dyDescent="0.25">
      <c r="A135" s="5">
        <v>43767</v>
      </c>
      <c r="B135" s="95">
        <v>14086</v>
      </c>
      <c r="C135" s="7" t="s">
        <v>705</v>
      </c>
      <c r="D135" s="23">
        <v>34.880000000000003</v>
      </c>
    </row>
    <row r="136" spans="1:4" x14ac:dyDescent="0.25">
      <c r="A136" s="5">
        <v>43770</v>
      </c>
      <c r="B136" s="95">
        <v>14313</v>
      </c>
      <c r="C136" s="7" t="s">
        <v>705</v>
      </c>
      <c r="D136" s="23">
        <v>8.98</v>
      </c>
    </row>
    <row r="137" spans="1:4" x14ac:dyDescent="0.25">
      <c r="A137" s="10"/>
      <c r="B137" s="147"/>
      <c r="C137" s="10"/>
      <c r="D137" s="23"/>
    </row>
    <row r="138" spans="1:4" x14ac:dyDescent="0.25">
      <c r="A138" s="10"/>
      <c r="B138" s="147"/>
      <c r="C138" s="10"/>
      <c r="D138" s="23"/>
    </row>
    <row r="139" spans="1:4" x14ac:dyDescent="0.25">
      <c r="A139" s="10"/>
      <c r="B139" s="147"/>
      <c r="C139" s="10"/>
      <c r="D139" s="23"/>
    </row>
    <row r="140" spans="1:4" x14ac:dyDescent="0.25">
      <c r="A140" s="151"/>
      <c r="B140" s="152"/>
      <c r="C140" s="151"/>
      <c r="D140" s="23"/>
    </row>
    <row r="141" spans="1:4" x14ac:dyDescent="0.25">
      <c r="A141" s="232" t="s">
        <v>703</v>
      </c>
      <c r="B141" s="232"/>
      <c r="C141" s="232"/>
      <c r="D141" s="148">
        <f>D130-SUM(D131:D140)</f>
        <v>2868.44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130:C130"/>
    <mergeCell ref="A141:C141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4"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76.85546875" customWidth="1"/>
    <col min="4" max="4" width="15.28515625" customWidth="1"/>
    <col min="5" max="5" width="3" customWidth="1"/>
    <col min="6" max="6" width="10.7109375" customWidth="1"/>
    <col min="7" max="7" width="15.5703125" customWidth="1"/>
    <col min="8" max="8" width="61.28515625" customWidth="1"/>
    <col min="9" max="9" width="12.140625" customWidth="1"/>
    <col min="10" max="10" width="2.140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962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Geral!D35</f>
        <v>17384.965521999999</v>
      </c>
      <c r="F6" s="211" t="s">
        <v>687</v>
      </c>
      <c r="G6" s="212"/>
      <c r="H6" s="14" t="s">
        <v>582</v>
      </c>
      <c r="I6" s="24">
        <f>Geral!E35</f>
        <v>8152.3675928571438</v>
      </c>
      <c r="K6" s="230" t="s">
        <v>688</v>
      </c>
      <c r="L6" s="230"/>
      <c r="M6" s="4" t="s">
        <v>582</v>
      </c>
      <c r="N6" s="24">
        <f>Geral!F35</f>
        <v>45000</v>
      </c>
    </row>
    <row r="7" spans="1:14" ht="15" customHeight="1" x14ac:dyDescent="0.25">
      <c r="A7" s="230"/>
      <c r="B7" s="230"/>
      <c r="C7" s="3" t="s">
        <v>583</v>
      </c>
      <c r="D7" s="24">
        <f>SUM(D10:D47)</f>
        <v>17384.97</v>
      </c>
      <c r="F7" s="213"/>
      <c r="G7" s="214"/>
      <c r="H7" s="14" t="s">
        <v>583</v>
      </c>
      <c r="I7" s="24">
        <f>SUM(I10:I31)</f>
        <v>2782.7900000000004</v>
      </c>
      <c r="K7" s="230"/>
      <c r="L7" s="230"/>
      <c r="M7" s="4" t="s">
        <v>583</v>
      </c>
      <c r="N7" s="24">
        <f>SUM(N10:N31)</f>
        <v>45000</v>
      </c>
    </row>
    <row r="8" spans="1:14" ht="15" customHeight="1" x14ac:dyDescent="0.25">
      <c r="A8" s="230"/>
      <c r="B8" s="230"/>
      <c r="C8" s="3" t="s">
        <v>584</v>
      </c>
      <c r="D8" s="24">
        <f>D6-D7</f>
        <v>-4.478000002563931E-3</v>
      </c>
      <c r="F8" s="215"/>
      <c r="G8" s="216"/>
      <c r="H8" s="14" t="s">
        <v>584</v>
      </c>
      <c r="I8" s="24">
        <f>I6-I7</f>
        <v>5369.5775928571438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96">
        <v>2501</v>
      </c>
      <c r="B10" s="15"/>
      <c r="C10" s="7" t="s">
        <v>724</v>
      </c>
      <c r="D10" s="24">
        <v>750</v>
      </c>
      <c r="F10" s="5">
        <v>43696</v>
      </c>
      <c r="G10" s="95">
        <v>2708</v>
      </c>
      <c r="H10" s="7" t="s">
        <v>963</v>
      </c>
      <c r="I10" s="24">
        <v>536.22</v>
      </c>
      <c r="K10" s="121">
        <v>3105</v>
      </c>
      <c r="L10" s="110">
        <v>5659</v>
      </c>
      <c r="M10" s="76" t="s">
        <v>362</v>
      </c>
      <c r="N10" s="79">
        <f>10*4500</f>
        <v>45000</v>
      </c>
    </row>
    <row r="11" spans="1:14" x14ac:dyDescent="0.25">
      <c r="A11" s="94">
        <v>1902</v>
      </c>
      <c r="B11" s="70"/>
      <c r="C11" s="10" t="s">
        <v>964</v>
      </c>
      <c r="D11" s="23">
        <v>70</v>
      </c>
      <c r="F11" s="5">
        <v>43696</v>
      </c>
      <c r="G11" s="95">
        <v>2709</v>
      </c>
      <c r="H11" s="7" t="s">
        <v>965</v>
      </c>
      <c r="I11" s="24">
        <v>536.22</v>
      </c>
      <c r="K11" s="73"/>
      <c r="L11" s="71"/>
      <c r="M11" s="10"/>
      <c r="N11" s="23"/>
    </row>
    <row r="12" spans="1:14" x14ac:dyDescent="0.25">
      <c r="A12" s="5">
        <v>43517</v>
      </c>
      <c r="B12" s="6"/>
      <c r="C12" s="7" t="s">
        <v>725</v>
      </c>
      <c r="D12" s="24">
        <v>750</v>
      </c>
      <c r="F12" s="5">
        <v>43704</v>
      </c>
      <c r="G12" s="95">
        <v>2814</v>
      </c>
      <c r="H12" s="7" t="s">
        <v>966</v>
      </c>
      <c r="I12" s="24">
        <v>67.680000000000007</v>
      </c>
      <c r="K12" s="68"/>
      <c r="L12" s="71"/>
      <c r="M12" s="10"/>
      <c r="N12" s="23"/>
    </row>
    <row r="13" spans="1:14" x14ac:dyDescent="0.25">
      <c r="A13" s="5">
        <v>43558</v>
      </c>
      <c r="B13" s="6" t="s">
        <v>967</v>
      </c>
      <c r="C13" s="7" t="s">
        <v>968</v>
      </c>
      <c r="D13" s="24">
        <v>20.399999999999999</v>
      </c>
      <c r="F13" s="5">
        <v>43704</v>
      </c>
      <c r="G13" s="95">
        <v>2816</v>
      </c>
      <c r="H13" s="7" t="s">
        <v>969</v>
      </c>
      <c r="I13" s="24">
        <v>67.680000000000007</v>
      </c>
      <c r="K13" s="8"/>
      <c r="L13" s="6"/>
      <c r="M13" s="7"/>
      <c r="N13" s="24"/>
    </row>
    <row r="14" spans="1:14" x14ac:dyDescent="0.25">
      <c r="A14" s="5">
        <v>43559</v>
      </c>
      <c r="B14" s="95">
        <v>4275</v>
      </c>
      <c r="C14" s="7" t="s">
        <v>705</v>
      </c>
      <c r="D14" s="24">
        <v>357.7</v>
      </c>
      <c r="F14" s="5">
        <v>43713</v>
      </c>
      <c r="G14" s="6"/>
      <c r="H14" s="7" t="s">
        <v>970</v>
      </c>
      <c r="I14" s="24">
        <v>850</v>
      </c>
      <c r="K14" s="8"/>
      <c r="L14" s="6"/>
      <c r="M14" s="7"/>
      <c r="N14" s="24"/>
    </row>
    <row r="15" spans="1:14" x14ac:dyDescent="0.25">
      <c r="A15" s="5">
        <v>43559</v>
      </c>
      <c r="B15" s="6"/>
      <c r="C15" s="7" t="s">
        <v>692</v>
      </c>
      <c r="D15" s="24">
        <v>-2856.95</v>
      </c>
      <c r="F15" s="5">
        <v>43752</v>
      </c>
      <c r="G15" s="95">
        <v>3696</v>
      </c>
      <c r="H15" s="7" t="s">
        <v>971</v>
      </c>
      <c r="I15" s="24">
        <v>584.36</v>
      </c>
      <c r="K15" s="8"/>
      <c r="L15" s="6"/>
      <c r="M15" s="7"/>
      <c r="N15" s="24"/>
    </row>
    <row r="16" spans="1:14" x14ac:dyDescent="0.25">
      <c r="A16" s="5">
        <v>43573</v>
      </c>
      <c r="B16" s="95">
        <v>5051</v>
      </c>
      <c r="C16" s="7" t="s">
        <v>705</v>
      </c>
      <c r="D16" s="23">
        <v>68.7</v>
      </c>
      <c r="F16" s="5">
        <v>43752</v>
      </c>
      <c r="G16" s="95"/>
      <c r="H16" s="7" t="s">
        <v>972</v>
      </c>
      <c r="I16" s="24">
        <f>100.45*2*0.7</f>
        <v>140.63</v>
      </c>
      <c r="K16" s="8"/>
      <c r="L16" s="6"/>
      <c r="M16" s="7"/>
      <c r="N16" s="24"/>
    </row>
    <row r="17" spans="1:14" x14ac:dyDescent="0.25">
      <c r="A17" s="5">
        <v>43581</v>
      </c>
      <c r="B17" s="10"/>
      <c r="C17" s="10" t="s">
        <v>973</v>
      </c>
      <c r="D17" s="23">
        <v>30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43581</v>
      </c>
      <c r="B18" s="10"/>
      <c r="C18" s="10" t="s">
        <v>974</v>
      </c>
      <c r="D18" s="23">
        <v>70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43591</v>
      </c>
      <c r="B19" s="95">
        <v>5832</v>
      </c>
      <c r="C19" s="7" t="s">
        <v>705</v>
      </c>
      <c r="D19" s="24">
        <v>107.77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43601</v>
      </c>
      <c r="B20" s="6"/>
      <c r="C20" s="7" t="s">
        <v>975</v>
      </c>
      <c r="D20" s="24">
        <v>22.63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43601</v>
      </c>
      <c r="B21" s="6"/>
      <c r="C21" s="7" t="s">
        <v>976</v>
      </c>
      <c r="D21" s="24">
        <v>1.5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43608</v>
      </c>
      <c r="B22" s="95">
        <v>5253</v>
      </c>
      <c r="C22" s="76" t="s">
        <v>355</v>
      </c>
      <c r="D22" s="79">
        <v>645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43612</v>
      </c>
      <c r="B23" s="71"/>
      <c r="C23" s="10" t="s">
        <v>977</v>
      </c>
      <c r="D23" s="23">
        <v>35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43616</v>
      </c>
      <c r="B24" s="95">
        <v>7124</v>
      </c>
      <c r="C24" s="7" t="s">
        <v>705</v>
      </c>
      <c r="D24" s="23">
        <v>201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43629</v>
      </c>
      <c r="B25" s="95">
        <v>7875</v>
      </c>
      <c r="C25" s="7" t="s">
        <v>705</v>
      </c>
      <c r="D25" s="24">
        <v>68.7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43629</v>
      </c>
      <c r="B26" s="95">
        <v>7886</v>
      </c>
      <c r="C26" s="7" t="s">
        <v>705</v>
      </c>
      <c r="D26" s="24">
        <v>1101.9100000000001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43654</v>
      </c>
      <c r="B27" s="95">
        <v>7522</v>
      </c>
      <c r="C27" s="76" t="s">
        <v>435</v>
      </c>
      <c r="D27" s="79">
        <v>1100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94">
        <v>1107</v>
      </c>
      <c r="B28" s="95">
        <v>7721</v>
      </c>
      <c r="C28" s="76" t="s">
        <v>437</v>
      </c>
      <c r="D28" s="79">
        <v>350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94">
        <v>1107</v>
      </c>
      <c r="B29" s="95">
        <v>7730</v>
      </c>
      <c r="C29" s="76" t="s">
        <v>438</v>
      </c>
      <c r="D29" s="79">
        <v>1400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94">
        <v>908</v>
      </c>
      <c r="B30" s="95">
        <v>9089</v>
      </c>
      <c r="C30" s="76" t="s">
        <v>466</v>
      </c>
      <c r="D30" s="79">
        <v>104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>
        <v>43691</v>
      </c>
      <c r="B31" s="71"/>
      <c r="C31" s="10" t="s">
        <v>978</v>
      </c>
      <c r="D31" s="23">
        <v>15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43691</v>
      </c>
      <c r="B32" s="71"/>
      <c r="C32" s="10" t="s">
        <v>979</v>
      </c>
      <c r="D32" s="23">
        <v>15</v>
      </c>
      <c r="F32" s="31"/>
      <c r="G32" s="32"/>
      <c r="H32" s="33"/>
      <c r="I32" s="41"/>
      <c r="K32" s="35"/>
      <c r="L32" s="32"/>
      <c r="M32" s="33"/>
      <c r="N32" s="41"/>
    </row>
    <row r="33" spans="1:14" x14ac:dyDescent="0.25">
      <c r="A33" s="5">
        <v>43691</v>
      </c>
      <c r="B33" s="71"/>
      <c r="C33" s="10" t="s">
        <v>979</v>
      </c>
      <c r="D33" s="23">
        <v>45</v>
      </c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5">
        <v>43696</v>
      </c>
      <c r="B34" s="95">
        <v>10533</v>
      </c>
      <c r="C34" s="7" t="s">
        <v>705</v>
      </c>
      <c r="D34" s="23">
        <v>91.9</v>
      </c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5">
        <v>43697</v>
      </c>
      <c r="B35" s="95">
        <v>10677</v>
      </c>
      <c r="C35" s="7" t="s">
        <v>705</v>
      </c>
      <c r="D35" s="23">
        <v>1014.5100000000001</v>
      </c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68">
        <v>509</v>
      </c>
      <c r="B36" s="71"/>
      <c r="C36" s="10" t="s">
        <v>980</v>
      </c>
      <c r="D36" s="23">
        <f>10000-347.14</f>
        <v>9652.86</v>
      </c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A37" s="5">
        <v>43713</v>
      </c>
      <c r="B37" s="71"/>
      <c r="C37" s="10" t="s">
        <v>981</v>
      </c>
      <c r="D37" s="23">
        <v>-850</v>
      </c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5">
        <v>43720</v>
      </c>
      <c r="B38" s="95">
        <v>11933</v>
      </c>
      <c r="C38" s="7" t="s">
        <v>982</v>
      </c>
      <c r="D38" s="24">
        <v>798.34</v>
      </c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5">
        <v>43726</v>
      </c>
      <c r="B39" s="95"/>
      <c r="C39" s="7" t="s">
        <v>710</v>
      </c>
      <c r="D39" s="23">
        <v>1000</v>
      </c>
      <c r="F39" s="31"/>
      <c r="G39" s="32"/>
      <c r="H39" s="33"/>
      <c r="I39" s="41"/>
      <c r="K39" s="35"/>
      <c r="L39" s="32"/>
      <c r="M39" s="33"/>
      <c r="N39" s="41"/>
    </row>
    <row r="40" spans="1:14" x14ac:dyDescent="0.25">
      <c r="A40" s="5">
        <v>43734</v>
      </c>
      <c r="B40" s="95"/>
      <c r="C40" s="7" t="s">
        <v>983</v>
      </c>
      <c r="D40" s="24">
        <v>40</v>
      </c>
      <c r="F40" s="31"/>
      <c r="G40" s="32"/>
      <c r="H40" s="33"/>
      <c r="I40" s="41"/>
      <c r="K40" s="35"/>
      <c r="L40" s="32"/>
      <c r="M40" s="33"/>
      <c r="N40" s="41"/>
    </row>
    <row r="41" spans="1:14" x14ac:dyDescent="0.25">
      <c r="A41" s="5">
        <v>43742</v>
      </c>
      <c r="B41" s="95">
        <v>12954</v>
      </c>
      <c r="C41" s="76" t="s">
        <v>547</v>
      </c>
      <c r="D41" s="79">
        <v>325</v>
      </c>
      <c r="F41" s="31"/>
      <c r="G41" s="32"/>
      <c r="H41" s="33"/>
      <c r="I41" s="41"/>
      <c r="K41" s="35"/>
      <c r="L41" s="32"/>
      <c r="M41" s="33"/>
      <c r="N41" s="41"/>
    </row>
    <row r="42" spans="1:14" x14ac:dyDescent="0.25">
      <c r="A42" s="5">
        <v>43742</v>
      </c>
      <c r="B42" s="95">
        <v>12955</v>
      </c>
      <c r="C42" s="76" t="s">
        <v>548</v>
      </c>
      <c r="D42" s="79">
        <v>480</v>
      </c>
      <c r="F42" s="31"/>
      <c r="G42" s="32"/>
      <c r="H42" s="33"/>
      <c r="I42" s="41"/>
      <c r="K42" s="35"/>
      <c r="L42" s="32"/>
      <c r="M42" s="33"/>
      <c r="N42" s="41"/>
    </row>
    <row r="43" spans="1:14" x14ac:dyDescent="0.25">
      <c r="A43" s="5">
        <v>43748</v>
      </c>
      <c r="B43" s="95"/>
      <c r="C43" s="7" t="s">
        <v>984</v>
      </c>
      <c r="D43" s="24">
        <v>180</v>
      </c>
      <c r="F43" s="31"/>
      <c r="G43" s="32"/>
      <c r="H43" s="33"/>
      <c r="I43" s="41"/>
      <c r="K43" s="35"/>
      <c r="L43" s="32"/>
      <c r="M43" s="33"/>
      <c r="N43" s="41"/>
    </row>
    <row r="44" spans="1:14" x14ac:dyDescent="0.25">
      <c r="A44" s="5">
        <v>43752</v>
      </c>
      <c r="B44" s="95"/>
      <c r="C44" s="7" t="s">
        <v>985</v>
      </c>
      <c r="D44" s="24">
        <v>180</v>
      </c>
      <c r="F44" s="31"/>
      <c r="G44" s="32"/>
      <c r="H44" s="33"/>
      <c r="I44" s="41"/>
      <c r="K44" s="35"/>
      <c r="L44" s="32"/>
      <c r="M44" s="33"/>
      <c r="N44" s="41"/>
    </row>
    <row r="45" spans="1:14" x14ac:dyDescent="0.25">
      <c r="A45" s="5"/>
      <c r="B45" s="6"/>
      <c r="C45" s="7"/>
      <c r="D45" s="23"/>
      <c r="F45" s="31"/>
      <c r="G45" s="32"/>
      <c r="H45" s="33"/>
      <c r="I45" s="41"/>
      <c r="K45" s="35"/>
      <c r="L45" s="32"/>
      <c r="M45" s="33"/>
      <c r="N45" s="41"/>
    </row>
    <row r="46" spans="1:14" x14ac:dyDescent="0.25">
      <c r="A46" s="68"/>
      <c r="B46" s="71"/>
      <c r="C46" s="10"/>
      <c r="D46" s="23"/>
      <c r="F46" s="31"/>
      <c r="G46" s="32"/>
      <c r="H46" s="33"/>
      <c r="I46" s="41"/>
      <c r="K46" s="35"/>
      <c r="L46" s="32"/>
      <c r="M46" s="33"/>
      <c r="N46" s="41"/>
    </row>
    <row r="47" spans="1:14" x14ac:dyDescent="0.25">
      <c r="A47" s="68"/>
      <c r="B47" s="71"/>
      <c r="C47" s="10"/>
      <c r="D47" s="23"/>
      <c r="F47" s="31"/>
      <c r="G47" s="32"/>
      <c r="H47" s="33"/>
      <c r="I47" s="41"/>
      <c r="K47" s="35"/>
      <c r="L47" s="32"/>
      <c r="M47" s="33"/>
      <c r="N47" s="41"/>
    </row>
    <row r="48" spans="1:14" x14ac:dyDescent="0.25">
      <c r="D48" s="1"/>
    </row>
    <row r="49" spans="1:4" x14ac:dyDescent="0.25">
      <c r="B49" s="44"/>
      <c r="C49" s="45" t="s">
        <v>715</v>
      </c>
      <c r="D49" s="23">
        <v>85.5</v>
      </c>
    </row>
    <row r="50" spans="1:4" x14ac:dyDescent="0.25">
      <c r="B50" s="94">
        <v>2501</v>
      </c>
      <c r="C50" s="10" t="s">
        <v>986</v>
      </c>
      <c r="D50" s="23">
        <f>35+52</f>
        <v>87</v>
      </c>
    </row>
    <row r="51" spans="1:4" x14ac:dyDescent="0.25">
      <c r="B51" s="5">
        <v>43601</v>
      </c>
      <c r="C51" s="7" t="s">
        <v>838</v>
      </c>
      <c r="D51" s="23">
        <v>-1.5</v>
      </c>
    </row>
    <row r="52" spans="1:4" x14ac:dyDescent="0.25">
      <c r="B52" s="44"/>
      <c r="C52" s="10"/>
      <c r="D52" s="23"/>
    </row>
    <row r="53" spans="1:4" x14ac:dyDescent="0.25">
      <c r="B53" s="44"/>
      <c r="C53" s="10" t="s">
        <v>703</v>
      </c>
      <c r="D53" s="48">
        <f>D49-SUM(D50:D52)</f>
        <v>0</v>
      </c>
    </row>
    <row r="54" spans="1:4" x14ac:dyDescent="0.25">
      <c r="D54" s="1"/>
    </row>
    <row r="56" spans="1:4" x14ac:dyDescent="0.25">
      <c r="A56" s="232" t="s">
        <v>718</v>
      </c>
      <c r="B56" s="232"/>
      <c r="C56" s="232"/>
      <c r="D56" s="148">
        <f>D39</f>
        <v>1000</v>
      </c>
    </row>
    <row r="57" spans="1:4" x14ac:dyDescent="0.25">
      <c r="A57" s="5">
        <v>43759</v>
      </c>
      <c r="B57" s="95">
        <v>13713</v>
      </c>
      <c r="C57" s="7" t="s">
        <v>705</v>
      </c>
      <c r="D57" s="24">
        <v>91.6</v>
      </c>
    </row>
    <row r="58" spans="1:4" x14ac:dyDescent="0.25">
      <c r="A58" s="10"/>
      <c r="B58" s="147"/>
      <c r="C58" s="10"/>
      <c r="D58" s="23"/>
    </row>
    <row r="59" spans="1:4" x14ac:dyDescent="0.25">
      <c r="A59" s="10"/>
      <c r="B59" s="147"/>
      <c r="C59" s="10"/>
      <c r="D59" s="23"/>
    </row>
    <row r="60" spans="1:4" x14ac:dyDescent="0.25">
      <c r="A60" s="10"/>
      <c r="B60" s="147"/>
      <c r="C60" s="10"/>
      <c r="D60" s="23"/>
    </row>
    <row r="61" spans="1:4" x14ac:dyDescent="0.25">
      <c r="A61" s="10"/>
      <c r="B61" s="147"/>
      <c r="C61" s="10"/>
      <c r="D61" s="23"/>
    </row>
    <row r="62" spans="1:4" x14ac:dyDescent="0.25">
      <c r="A62" s="10"/>
      <c r="B62" s="147"/>
      <c r="C62" s="10"/>
      <c r="D62" s="23"/>
    </row>
    <row r="63" spans="1:4" x14ac:dyDescent="0.25">
      <c r="A63" s="10"/>
      <c r="B63" s="147"/>
      <c r="C63" s="10"/>
      <c r="D63" s="23"/>
    </row>
    <row r="64" spans="1:4" x14ac:dyDescent="0.25">
      <c r="A64" s="10"/>
      <c r="B64" s="147"/>
      <c r="C64" s="10"/>
      <c r="D64" s="23"/>
    </row>
    <row r="65" spans="1:4" x14ac:dyDescent="0.25">
      <c r="A65" s="10"/>
      <c r="B65" s="147"/>
      <c r="C65" s="10"/>
      <c r="D65" s="23"/>
    </row>
    <row r="66" spans="1:4" x14ac:dyDescent="0.25">
      <c r="A66" s="151"/>
      <c r="B66" s="152"/>
      <c r="C66" s="151"/>
      <c r="D66" s="23"/>
    </row>
    <row r="67" spans="1:4" x14ac:dyDescent="0.25">
      <c r="A67" s="232" t="s">
        <v>703</v>
      </c>
      <c r="B67" s="232"/>
      <c r="C67" s="232"/>
      <c r="D67" s="148">
        <f>D56-SUM(D57:D66)</f>
        <v>908.4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56:C56"/>
    <mergeCell ref="A67:C67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0"/>
  <sheetViews>
    <sheetView topLeftCell="A89" workbookViewId="0">
      <selection activeCell="M117" sqref="M117"/>
    </sheetView>
  </sheetViews>
  <sheetFormatPr defaultRowHeight="15" x14ac:dyDescent="0.25"/>
  <cols>
    <col min="1" max="1" width="11.7109375" customWidth="1"/>
    <col min="2" max="2" width="11.85546875" customWidth="1"/>
    <col min="3" max="3" width="10.7109375" customWidth="1"/>
    <col min="4" max="4" width="8" customWidth="1"/>
    <col min="5" max="5" width="11.7109375" customWidth="1"/>
    <col min="6" max="6" width="56.28515625" customWidth="1"/>
    <col min="7" max="7" width="14.28515625" customWidth="1"/>
    <col min="8" max="8" width="8.42578125" customWidth="1"/>
    <col min="9" max="9" width="4.5703125" customWidth="1"/>
    <col min="10" max="10" width="4.140625" customWidth="1"/>
    <col min="11" max="11" width="46" customWidth="1"/>
    <col min="12" max="12" width="14.28515625" customWidth="1"/>
    <col min="13" max="14" width="10.5703125" customWidth="1"/>
  </cols>
  <sheetData>
    <row r="1" spans="1:13" ht="18.75" x14ac:dyDescent="0.3">
      <c r="A1" s="210" t="s">
        <v>118</v>
      </c>
      <c r="B1" s="210"/>
      <c r="C1" s="210"/>
      <c r="D1" s="210"/>
      <c r="E1" s="210"/>
      <c r="F1" s="210"/>
      <c r="G1" s="210"/>
      <c r="K1" s="210" t="s">
        <v>119</v>
      </c>
      <c r="L1" s="210"/>
    </row>
    <row r="2" spans="1:13" x14ac:dyDescent="0.25">
      <c r="A2" s="97" t="s">
        <v>1</v>
      </c>
      <c r="B2" s="97" t="s">
        <v>2</v>
      </c>
      <c r="C2" s="97" t="s">
        <v>120</v>
      </c>
      <c r="D2" s="97" t="s">
        <v>121</v>
      </c>
      <c r="E2" s="97" t="s">
        <v>3</v>
      </c>
      <c r="F2" s="97" t="s">
        <v>4</v>
      </c>
      <c r="G2" s="97" t="s">
        <v>5</v>
      </c>
      <c r="H2" s="97" t="s">
        <v>20</v>
      </c>
      <c r="K2" s="98" t="s">
        <v>122</v>
      </c>
      <c r="L2" s="99">
        <v>100000</v>
      </c>
    </row>
    <row r="3" spans="1:13" x14ac:dyDescent="0.25">
      <c r="A3" s="94">
        <v>1501</v>
      </c>
      <c r="B3" s="95">
        <v>111</v>
      </c>
      <c r="C3" s="94">
        <v>1501</v>
      </c>
      <c r="D3" s="76">
        <v>800018</v>
      </c>
      <c r="E3" s="76" t="s">
        <v>12</v>
      </c>
      <c r="F3" s="76" t="s">
        <v>123</v>
      </c>
      <c r="G3" s="79">
        <v>50000</v>
      </c>
      <c r="H3" s="76"/>
      <c r="K3" s="10" t="s">
        <v>124</v>
      </c>
      <c r="L3" s="80">
        <f>SUM(G3:G16)</f>
        <v>144314.62</v>
      </c>
    </row>
    <row r="4" spans="1:13" x14ac:dyDescent="0.25">
      <c r="A4" s="94">
        <v>1501</v>
      </c>
      <c r="B4" s="95">
        <v>112</v>
      </c>
      <c r="C4" s="94">
        <v>1501</v>
      </c>
      <c r="D4" s="76">
        <v>800019</v>
      </c>
      <c r="E4" s="76" t="s">
        <v>12</v>
      </c>
      <c r="F4" s="76" t="s">
        <v>125</v>
      </c>
      <c r="G4" s="79">
        <v>50000</v>
      </c>
      <c r="H4" s="76"/>
      <c r="K4" s="98" t="s">
        <v>126</v>
      </c>
      <c r="L4" s="99">
        <v>50000</v>
      </c>
    </row>
    <row r="5" spans="1:13" x14ac:dyDescent="0.25">
      <c r="A5" s="94">
        <v>2101</v>
      </c>
      <c r="B5" s="95">
        <v>304</v>
      </c>
      <c r="C5" s="94">
        <v>2101</v>
      </c>
      <c r="D5" s="76">
        <v>800051</v>
      </c>
      <c r="E5" s="76" t="s">
        <v>127</v>
      </c>
      <c r="F5" s="76" t="s">
        <v>128</v>
      </c>
      <c r="G5" s="79">
        <v>10000</v>
      </c>
      <c r="H5" s="76"/>
      <c r="K5" s="10" t="s">
        <v>129</v>
      </c>
      <c r="L5" s="80">
        <f>150+80</f>
        <v>230</v>
      </c>
    </row>
    <row r="6" spans="1:13" x14ac:dyDescent="0.25">
      <c r="A6" s="94">
        <v>2101</v>
      </c>
      <c r="B6" s="95">
        <v>315</v>
      </c>
      <c r="C6" s="94">
        <v>2201</v>
      </c>
      <c r="D6" s="76">
        <v>800059</v>
      </c>
      <c r="E6" s="76" t="s">
        <v>89</v>
      </c>
      <c r="F6" s="76" t="s">
        <v>130</v>
      </c>
      <c r="G6" s="79">
        <v>350</v>
      </c>
      <c r="H6" s="76"/>
      <c r="K6" s="10" t="s">
        <v>131</v>
      </c>
      <c r="L6" s="80">
        <v>120</v>
      </c>
    </row>
    <row r="7" spans="1:13" x14ac:dyDescent="0.25">
      <c r="A7" s="94">
        <v>2101</v>
      </c>
      <c r="B7" s="95">
        <v>319</v>
      </c>
      <c r="C7" s="94">
        <v>2201</v>
      </c>
      <c r="D7" s="76">
        <v>800060</v>
      </c>
      <c r="E7" s="76" t="s">
        <v>12</v>
      </c>
      <c r="F7" s="76" t="s">
        <v>132</v>
      </c>
      <c r="G7" s="79">
        <v>37.5</v>
      </c>
      <c r="H7" s="76"/>
      <c r="K7" s="45" t="s">
        <v>133</v>
      </c>
      <c r="L7" s="99">
        <v>304575.06</v>
      </c>
    </row>
    <row r="8" spans="1:13" x14ac:dyDescent="0.25">
      <c r="A8" s="94">
        <v>2101</v>
      </c>
      <c r="B8" s="95">
        <v>325</v>
      </c>
      <c r="C8" s="94">
        <v>2401</v>
      </c>
      <c r="D8" s="76">
        <v>400109</v>
      </c>
      <c r="E8" s="76" t="s">
        <v>127</v>
      </c>
      <c r="F8" s="76" t="s">
        <v>134</v>
      </c>
      <c r="G8" s="79">
        <v>8000</v>
      </c>
      <c r="H8" s="76"/>
      <c r="K8" s="45" t="s">
        <v>135</v>
      </c>
      <c r="L8" s="99">
        <f>L2-L3+L4-L5-L6+L7</f>
        <v>309910.44</v>
      </c>
    </row>
    <row r="9" spans="1:13" x14ac:dyDescent="0.25">
      <c r="A9" s="94">
        <v>2101</v>
      </c>
      <c r="B9" s="95">
        <v>326</v>
      </c>
      <c r="C9" s="94">
        <v>2401</v>
      </c>
      <c r="D9" s="76">
        <v>400111</v>
      </c>
      <c r="E9" s="76" t="s">
        <v>127</v>
      </c>
      <c r="F9" s="76" t="s">
        <v>136</v>
      </c>
      <c r="G9" s="79">
        <v>20000</v>
      </c>
      <c r="H9" s="76"/>
      <c r="K9" s="10" t="s">
        <v>137</v>
      </c>
      <c r="L9" s="80">
        <f>SUM(G17:G38)</f>
        <v>157217.88</v>
      </c>
    </row>
    <row r="10" spans="1:13" x14ac:dyDescent="0.25">
      <c r="A10" s="94">
        <v>2301</v>
      </c>
      <c r="B10" s="95">
        <v>419</v>
      </c>
      <c r="C10" s="94">
        <v>2401</v>
      </c>
      <c r="D10" s="76">
        <v>800097</v>
      </c>
      <c r="E10" s="76" t="s">
        <v>40</v>
      </c>
      <c r="F10" s="76" t="s">
        <v>138</v>
      </c>
      <c r="G10" s="79">
        <v>75.12</v>
      </c>
      <c r="H10" s="76"/>
      <c r="K10" s="10" t="s">
        <v>139</v>
      </c>
      <c r="L10" s="80">
        <v>150</v>
      </c>
    </row>
    <row r="11" spans="1:13" x14ac:dyDescent="0.25">
      <c r="A11" s="94">
        <v>2301</v>
      </c>
      <c r="B11" s="95">
        <v>432</v>
      </c>
      <c r="C11" s="94">
        <v>2801</v>
      </c>
      <c r="D11" s="76">
        <v>800139</v>
      </c>
      <c r="E11" s="76" t="s">
        <v>12</v>
      </c>
      <c r="F11" s="76" t="s">
        <v>140</v>
      </c>
      <c r="G11" s="79">
        <v>1000</v>
      </c>
      <c r="H11" s="76"/>
      <c r="K11" s="10" t="s">
        <v>141</v>
      </c>
      <c r="L11" s="80">
        <v>50</v>
      </c>
    </row>
    <row r="12" spans="1:13" x14ac:dyDescent="0.25">
      <c r="A12" s="94">
        <v>2301</v>
      </c>
      <c r="B12" s="95">
        <v>433</v>
      </c>
      <c r="C12" s="94">
        <v>2801</v>
      </c>
      <c r="D12" s="76">
        <v>800137</v>
      </c>
      <c r="E12" s="76" t="s">
        <v>12</v>
      </c>
      <c r="F12" s="76" t="s">
        <v>142</v>
      </c>
      <c r="G12" s="79">
        <v>1500</v>
      </c>
      <c r="H12" s="76"/>
      <c r="K12" s="98" t="s">
        <v>143</v>
      </c>
      <c r="L12" s="99">
        <v>61494.26</v>
      </c>
    </row>
    <row r="13" spans="1:13" x14ac:dyDescent="0.25">
      <c r="A13" s="94">
        <v>2301</v>
      </c>
      <c r="B13" s="95">
        <v>434</v>
      </c>
      <c r="C13" s="94">
        <v>2801</v>
      </c>
      <c r="D13" s="76">
        <v>800135</v>
      </c>
      <c r="E13" s="76" t="s">
        <v>12</v>
      </c>
      <c r="F13" s="76" t="s">
        <v>144</v>
      </c>
      <c r="G13" s="79">
        <v>1500</v>
      </c>
      <c r="H13" s="76"/>
      <c r="K13" s="98" t="s">
        <v>145</v>
      </c>
      <c r="L13" s="99">
        <v>449.54</v>
      </c>
    </row>
    <row r="14" spans="1:13" x14ac:dyDescent="0.25">
      <c r="A14" s="94">
        <v>2301</v>
      </c>
      <c r="B14" s="95">
        <v>435</v>
      </c>
      <c r="C14" s="94">
        <v>2801</v>
      </c>
      <c r="D14" s="76">
        <v>800136</v>
      </c>
      <c r="E14" s="76" t="s">
        <v>12</v>
      </c>
      <c r="F14" s="76" t="s">
        <v>146</v>
      </c>
      <c r="G14" s="79">
        <v>1000</v>
      </c>
      <c r="H14" s="76"/>
      <c r="K14" s="10" t="s">
        <v>147</v>
      </c>
      <c r="L14" s="80">
        <v>3016.45</v>
      </c>
    </row>
    <row r="15" spans="1:13" x14ac:dyDescent="0.25">
      <c r="A15" s="94">
        <v>2801</v>
      </c>
      <c r="B15" s="95">
        <v>641</v>
      </c>
      <c r="C15" s="94">
        <v>2901</v>
      </c>
      <c r="D15" s="76">
        <v>800164</v>
      </c>
      <c r="E15" s="76" t="s">
        <v>148</v>
      </c>
      <c r="F15" s="76" t="s">
        <v>149</v>
      </c>
      <c r="G15" s="79">
        <v>20</v>
      </c>
      <c r="H15" s="76"/>
      <c r="K15" s="10" t="s">
        <v>150</v>
      </c>
      <c r="L15" s="80">
        <v>899</v>
      </c>
    </row>
    <row r="16" spans="1:13" x14ac:dyDescent="0.25">
      <c r="A16" s="94">
        <v>3001</v>
      </c>
      <c r="B16" s="95">
        <v>709</v>
      </c>
      <c r="C16" s="94">
        <v>3101</v>
      </c>
      <c r="D16" s="76">
        <v>800193</v>
      </c>
      <c r="E16" s="76" t="s">
        <v>89</v>
      </c>
      <c r="F16" s="76" t="s">
        <v>151</v>
      </c>
      <c r="G16" s="79">
        <v>832</v>
      </c>
      <c r="H16" s="76"/>
      <c r="K16" s="98" t="s">
        <v>143</v>
      </c>
      <c r="L16" s="99">
        <v>7444.5299999999988</v>
      </c>
      <c r="M16" s="66"/>
    </row>
    <row r="17" spans="1:13" x14ac:dyDescent="0.25">
      <c r="A17" s="94">
        <v>502</v>
      </c>
      <c r="B17" s="95">
        <v>874</v>
      </c>
      <c r="C17" s="94">
        <v>602</v>
      </c>
      <c r="D17" s="76">
        <v>800269</v>
      </c>
      <c r="E17" s="76" t="s">
        <v>12</v>
      </c>
      <c r="F17" s="76" t="s">
        <v>152</v>
      </c>
      <c r="G17" s="79">
        <v>750</v>
      </c>
      <c r="H17" s="76"/>
      <c r="K17" s="45" t="s">
        <v>135</v>
      </c>
      <c r="L17" s="99">
        <f>L8-L9-L10+L12+L13-L11-L14-L15+L16</f>
        <v>217965.44</v>
      </c>
    </row>
    <row r="18" spans="1:13" x14ac:dyDescent="0.25">
      <c r="A18" s="94">
        <v>502</v>
      </c>
      <c r="B18" s="95">
        <v>883</v>
      </c>
      <c r="C18" s="94">
        <v>702</v>
      </c>
      <c r="D18" s="76">
        <v>800284</v>
      </c>
      <c r="E18" s="76" t="s">
        <v>89</v>
      </c>
      <c r="F18" s="76" t="s">
        <v>153</v>
      </c>
      <c r="G18" s="79">
        <v>3944</v>
      </c>
      <c r="H18" s="76"/>
      <c r="K18" s="10" t="s">
        <v>154</v>
      </c>
      <c r="L18" s="80">
        <f>SUM(G39:G76)</f>
        <v>89182.27</v>
      </c>
    </row>
    <row r="19" spans="1:13" x14ac:dyDescent="0.25">
      <c r="A19" s="94">
        <v>502</v>
      </c>
      <c r="B19" s="95">
        <v>887</v>
      </c>
      <c r="C19" s="94">
        <v>702</v>
      </c>
      <c r="D19" s="76">
        <v>400160</v>
      </c>
      <c r="E19" s="76" t="s">
        <v>127</v>
      </c>
      <c r="F19" s="76" t="s">
        <v>155</v>
      </c>
      <c r="G19" s="79">
        <v>5000</v>
      </c>
      <c r="H19" s="76"/>
      <c r="K19" s="45" t="s">
        <v>156</v>
      </c>
      <c r="L19" s="80">
        <v>354575.11</v>
      </c>
    </row>
    <row r="20" spans="1:13" x14ac:dyDescent="0.25">
      <c r="A20" s="94">
        <v>502</v>
      </c>
      <c r="B20" s="95">
        <v>890</v>
      </c>
      <c r="C20" s="94">
        <v>702</v>
      </c>
      <c r="D20" s="76">
        <v>400162</v>
      </c>
      <c r="E20" s="76" t="s">
        <v>127</v>
      </c>
      <c r="F20" s="76" t="s">
        <v>157</v>
      </c>
      <c r="G20" s="79">
        <v>15000</v>
      </c>
      <c r="H20" s="76"/>
      <c r="K20" s="10" t="s">
        <v>158</v>
      </c>
      <c r="L20" s="80">
        <v>10000</v>
      </c>
    </row>
    <row r="21" spans="1:13" x14ac:dyDescent="0.25">
      <c r="A21" s="94">
        <v>502</v>
      </c>
      <c r="B21" s="95">
        <v>891</v>
      </c>
      <c r="C21" s="94">
        <v>702</v>
      </c>
      <c r="D21" s="76">
        <v>400163</v>
      </c>
      <c r="E21" s="76" t="s">
        <v>127</v>
      </c>
      <c r="F21" s="76" t="s">
        <v>159</v>
      </c>
      <c r="G21" s="79">
        <v>15000</v>
      </c>
      <c r="H21" s="76"/>
      <c r="K21" s="10" t="s">
        <v>160</v>
      </c>
      <c r="L21" s="80">
        <v>340</v>
      </c>
      <c r="M21" s="66"/>
    </row>
    <row r="22" spans="1:13" x14ac:dyDescent="0.25">
      <c r="A22" s="94">
        <v>702</v>
      </c>
      <c r="B22" s="95">
        <v>962</v>
      </c>
      <c r="C22" s="94">
        <v>802</v>
      </c>
      <c r="D22" s="76">
        <v>800320</v>
      </c>
      <c r="E22" s="76" t="s">
        <v>89</v>
      </c>
      <c r="F22" s="76" t="s">
        <v>161</v>
      </c>
      <c r="G22" s="79">
        <v>3246</v>
      </c>
      <c r="H22" s="76"/>
      <c r="K22" s="10" t="s">
        <v>162</v>
      </c>
      <c r="L22" s="80">
        <v>6120</v>
      </c>
    </row>
    <row r="23" spans="1:13" x14ac:dyDescent="0.25">
      <c r="A23" s="94">
        <v>802</v>
      </c>
      <c r="B23" s="95">
        <v>1082</v>
      </c>
      <c r="C23" s="94">
        <v>1102</v>
      </c>
      <c r="D23" s="76">
        <v>800333</v>
      </c>
      <c r="E23" s="76" t="s">
        <v>127</v>
      </c>
      <c r="F23" s="76" t="s">
        <v>163</v>
      </c>
      <c r="G23" s="79">
        <v>20000</v>
      </c>
      <c r="H23" s="76"/>
      <c r="K23" s="10" t="s">
        <v>164</v>
      </c>
      <c r="L23" s="80">
        <v>269892.18</v>
      </c>
    </row>
    <row r="24" spans="1:13" x14ac:dyDescent="0.25">
      <c r="A24" s="94">
        <v>802</v>
      </c>
      <c r="B24" s="95">
        <v>1084</v>
      </c>
      <c r="C24" s="94">
        <v>1102</v>
      </c>
      <c r="D24" s="76">
        <v>400171</v>
      </c>
      <c r="E24" s="76" t="s">
        <v>127</v>
      </c>
      <c r="F24" s="76" t="s">
        <v>165</v>
      </c>
      <c r="G24" s="79">
        <v>42000</v>
      </c>
      <c r="H24" s="76"/>
      <c r="K24" s="10" t="s">
        <v>166</v>
      </c>
      <c r="L24" s="80">
        <v>3227</v>
      </c>
    </row>
    <row r="25" spans="1:13" x14ac:dyDescent="0.25">
      <c r="A25" s="94">
        <v>802</v>
      </c>
      <c r="B25" s="95">
        <v>1103</v>
      </c>
      <c r="C25" s="94">
        <v>802</v>
      </c>
      <c r="D25" s="76">
        <v>400173</v>
      </c>
      <c r="E25" s="76" t="s">
        <v>127</v>
      </c>
      <c r="F25" s="76" t="s">
        <v>165</v>
      </c>
      <c r="G25" s="79">
        <v>8000</v>
      </c>
      <c r="H25" s="76"/>
      <c r="K25" s="45" t="s">
        <v>135</v>
      </c>
      <c r="L25" s="99">
        <f>L17-L18+L19-L20-L21+L22+L23+L24</f>
        <v>752257.46</v>
      </c>
    </row>
    <row r="26" spans="1:13" x14ac:dyDescent="0.25">
      <c r="A26" s="94">
        <v>1102</v>
      </c>
      <c r="B26" s="95">
        <v>1162</v>
      </c>
      <c r="C26" s="94">
        <v>1202</v>
      </c>
      <c r="D26" s="76">
        <v>800375</v>
      </c>
      <c r="E26" s="76" t="s">
        <v>89</v>
      </c>
      <c r="F26" s="76" t="s">
        <v>167</v>
      </c>
      <c r="G26" s="79">
        <v>1200</v>
      </c>
      <c r="H26" s="76"/>
      <c r="K26" s="10" t="s">
        <v>168</v>
      </c>
      <c r="L26" s="80">
        <f>SUM(G77:G119)</f>
        <v>174471.40999999997</v>
      </c>
    </row>
    <row r="27" spans="1:13" x14ac:dyDescent="0.25">
      <c r="A27" s="94">
        <v>2602</v>
      </c>
      <c r="B27" s="95">
        <v>1680</v>
      </c>
      <c r="C27" s="94">
        <v>2602</v>
      </c>
      <c r="D27" s="76">
        <v>800481</v>
      </c>
      <c r="E27" s="76" t="s">
        <v>89</v>
      </c>
      <c r="F27" s="76" t="s">
        <v>169</v>
      </c>
      <c r="G27" s="79">
        <v>1373.75</v>
      </c>
      <c r="H27" s="76"/>
      <c r="K27" s="10" t="s">
        <v>170</v>
      </c>
      <c r="L27" s="80">
        <v>100</v>
      </c>
    </row>
    <row r="28" spans="1:13" x14ac:dyDescent="0.25">
      <c r="A28" s="94">
        <v>2602</v>
      </c>
      <c r="B28" s="95">
        <v>1641</v>
      </c>
      <c r="C28" s="94">
        <v>2702</v>
      </c>
      <c r="D28" s="76">
        <v>800496</v>
      </c>
      <c r="E28" s="76" t="s">
        <v>12</v>
      </c>
      <c r="F28" s="76" t="s">
        <v>171</v>
      </c>
      <c r="G28" s="79">
        <v>5420.2</v>
      </c>
      <c r="H28" s="76"/>
      <c r="K28" s="10" t="s">
        <v>172</v>
      </c>
      <c r="L28" s="80">
        <v>10000</v>
      </c>
    </row>
    <row r="29" spans="1:13" x14ac:dyDescent="0.25">
      <c r="A29" s="94">
        <v>2602</v>
      </c>
      <c r="B29" s="95">
        <v>1657</v>
      </c>
      <c r="C29" s="94">
        <v>2702</v>
      </c>
      <c r="D29" s="76">
        <v>800500</v>
      </c>
      <c r="E29" s="76" t="s">
        <v>12</v>
      </c>
      <c r="F29" s="76" t="s">
        <v>173</v>
      </c>
      <c r="G29" s="79">
        <v>6625</v>
      </c>
      <c r="H29" s="76"/>
      <c r="K29" s="10" t="s">
        <v>174</v>
      </c>
      <c r="L29" s="80">
        <v>300</v>
      </c>
    </row>
    <row r="30" spans="1:13" x14ac:dyDescent="0.25">
      <c r="A30" s="94">
        <v>2602</v>
      </c>
      <c r="B30" s="95">
        <v>1652</v>
      </c>
      <c r="C30" s="94">
        <v>2702</v>
      </c>
      <c r="D30" s="76">
        <v>800493</v>
      </c>
      <c r="E30" s="76" t="s">
        <v>12</v>
      </c>
      <c r="F30" s="76" t="s">
        <v>175</v>
      </c>
      <c r="G30" s="79">
        <v>3921.4</v>
      </c>
      <c r="H30" s="76"/>
      <c r="K30" s="10" t="s">
        <v>176</v>
      </c>
      <c r="L30" s="80">
        <v>2526.71</v>
      </c>
    </row>
    <row r="31" spans="1:13" x14ac:dyDescent="0.25">
      <c r="A31" s="94">
        <v>2602</v>
      </c>
      <c r="B31" s="95">
        <v>1654</v>
      </c>
      <c r="C31" s="94">
        <v>2702</v>
      </c>
      <c r="D31" s="76">
        <v>800492</v>
      </c>
      <c r="E31" s="76" t="s">
        <v>12</v>
      </c>
      <c r="F31" s="76" t="s">
        <v>177</v>
      </c>
      <c r="G31" s="79">
        <v>4865</v>
      </c>
      <c r="H31" s="76"/>
      <c r="K31" s="10" t="s">
        <v>178</v>
      </c>
      <c r="L31" s="80">
        <v>1676.25</v>
      </c>
    </row>
    <row r="32" spans="1:13" x14ac:dyDescent="0.25">
      <c r="A32" s="94">
        <v>2602</v>
      </c>
      <c r="B32" s="95">
        <v>1642</v>
      </c>
      <c r="C32" s="94">
        <v>2702</v>
      </c>
      <c r="D32" s="76">
        <v>800495</v>
      </c>
      <c r="E32" s="76" t="s">
        <v>12</v>
      </c>
      <c r="F32" s="76" t="s">
        <v>179</v>
      </c>
      <c r="G32" s="79">
        <v>5861</v>
      </c>
      <c r="H32" s="76"/>
      <c r="K32" s="10" t="s">
        <v>180</v>
      </c>
      <c r="L32" s="80">
        <v>3007</v>
      </c>
    </row>
    <row r="33" spans="1:14" x14ac:dyDescent="0.25">
      <c r="A33" s="94">
        <v>2602</v>
      </c>
      <c r="B33" s="95">
        <v>1656</v>
      </c>
      <c r="C33" s="94">
        <v>2702</v>
      </c>
      <c r="D33" s="76">
        <v>800501</v>
      </c>
      <c r="E33" s="76" t="s">
        <v>12</v>
      </c>
      <c r="F33" s="76" t="s">
        <v>181</v>
      </c>
      <c r="G33" s="79">
        <v>6337</v>
      </c>
      <c r="H33" s="76"/>
      <c r="K33" s="10" t="s">
        <v>182</v>
      </c>
      <c r="L33" s="80">
        <v>18000</v>
      </c>
      <c r="N33" s="66"/>
    </row>
    <row r="34" spans="1:14" x14ac:dyDescent="0.25">
      <c r="A34" s="94">
        <v>2702</v>
      </c>
      <c r="B34" s="95">
        <v>1710</v>
      </c>
      <c r="C34" s="94">
        <v>2802</v>
      </c>
      <c r="D34" s="76">
        <v>800521</v>
      </c>
      <c r="E34" s="76" t="s">
        <v>12</v>
      </c>
      <c r="F34" s="76" t="s">
        <v>183</v>
      </c>
      <c r="G34" s="79">
        <v>400</v>
      </c>
      <c r="H34" s="76"/>
      <c r="K34" s="10" t="s">
        <v>184</v>
      </c>
      <c r="L34" s="80">
        <v>68571</v>
      </c>
    </row>
    <row r="35" spans="1:14" x14ac:dyDescent="0.25">
      <c r="A35" s="94">
        <v>2702</v>
      </c>
      <c r="B35" s="95">
        <v>1711</v>
      </c>
      <c r="C35" s="94">
        <v>2802</v>
      </c>
      <c r="D35" s="76">
        <v>800520</v>
      </c>
      <c r="E35" s="76" t="s">
        <v>12</v>
      </c>
      <c r="F35" s="76" t="s">
        <v>185</v>
      </c>
      <c r="G35" s="79">
        <v>400</v>
      </c>
      <c r="H35" s="76"/>
      <c r="K35" s="10" t="s">
        <v>186</v>
      </c>
      <c r="L35" s="80">
        <v>14000</v>
      </c>
    </row>
    <row r="36" spans="1:14" x14ac:dyDescent="0.25">
      <c r="A36" s="94">
        <v>2702</v>
      </c>
      <c r="B36" s="95">
        <v>1712</v>
      </c>
      <c r="C36" s="94">
        <v>2802</v>
      </c>
      <c r="D36" s="76">
        <v>800517</v>
      </c>
      <c r="E36" s="76" t="s">
        <v>12</v>
      </c>
      <c r="F36" s="76" t="s">
        <v>187</v>
      </c>
      <c r="G36" s="79">
        <v>400</v>
      </c>
      <c r="H36" s="76"/>
      <c r="K36" s="10" t="s">
        <v>188</v>
      </c>
      <c r="L36" s="80">
        <v>25653.61</v>
      </c>
    </row>
    <row r="37" spans="1:14" x14ac:dyDescent="0.25">
      <c r="A37" s="94">
        <v>2702</v>
      </c>
      <c r="B37" s="95">
        <v>1709</v>
      </c>
      <c r="C37" s="94">
        <v>2802</v>
      </c>
      <c r="D37" s="76">
        <v>800522</v>
      </c>
      <c r="E37" s="76" t="s">
        <v>8</v>
      </c>
      <c r="F37" s="76" t="s">
        <v>189</v>
      </c>
      <c r="G37" s="79">
        <v>30</v>
      </c>
      <c r="H37" s="76"/>
      <c r="K37" s="10" t="s">
        <v>190</v>
      </c>
      <c r="L37" s="80">
        <v>2105</v>
      </c>
    </row>
    <row r="38" spans="1:14" x14ac:dyDescent="0.25">
      <c r="A38" s="94">
        <v>2802</v>
      </c>
      <c r="B38" s="95">
        <v>1725</v>
      </c>
      <c r="C38" s="94">
        <v>2802</v>
      </c>
      <c r="D38" s="76">
        <v>800516</v>
      </c>
      <c r="E38" s="76" t="s">
        <v>12</v>
      </c>
      <c r="F38" s="76" t="s">
        <v>123</v>
      </c>
      <c r="G38" s="79">
        <v>7444.5299999999988</v>
      </c>
      <c r="H38" s="76"/>
      <c r="K38" s="45" t="s">
        <v>135</v>
      </c>
      <c r="L38" s="99">
        <f>L25-L26-L27-L28-L29-L30+L31-L32+L33+L34+L35+L36-L37</f>
        <v>687648.20000000007</v>
      </c>
    </row>
    <row r="39" spans="1:14" x14ac:dyDescent="0.25">
      <c r="A39" s="94">
        <v>103</v>
      </c>
      <c r="B39" s="95">
        <v>1783</v>
      </c>
      <c r="C39" s="94">
        <v>803</v>
      </c>
      <c r="D39" s="76">
        <v>800584</v>
      </c>
      <c r="E39" s="76" t="s">
        <v>191</v>
      </c>
      <c r="F39" s="76" t="s">
        <v>192</v>
      </c>
      <c r="G39" s="79">
        <v>60</v>
      </c>
      <c r="H39" s="76"/>
      <c r="K39" s="10" t="s">
        <v>193</v>
      </c>
      <c r="L39" s="80">
        <f>SUM(G120:G167)</f>
        <v>102997.31999999999</v>
      </c>
      <c r="M39" s="66"/>
    </row>
    <row r="40" spans="1:14" x14ac:dyDescent="0.25">
      <c r="A40" s="94">
        <v>703</v>
      </c>
      <c r="B40" s="95">
        <v>1867</v>
      </c>
      <c r="C40" s="94">
        <v>803</v>
      </c>
      <c r="D40" s="76">
        <v>800595</v>
      </c>
      <c r="E40" s="76" t="s">
        <v>194</v>
      </c>
      <c r="F40" s="76" t="s">
        <v>195</v>
      </c>
      <c r="G40" s="79">
        <v>600</v>
      </c>
      <c r="H40" s="76"/>
      <c r="K40" s="10" t="s">
        <v>196</v>
      </c>
      <c r="L40" s="80">
        <v>1600</v>
      </c>
    </row>
    <row r="41" spans="1:14" x14ac:dyDescent="0.25">
      <c r="A41" s="94">
        <v>703</v>
      </c>
      <c r="B41" s="95">
        <v>1868</v>
      </c>
      <c r="C41" s="94">
        <v>803</v>
      </c>
      <c r="D41" s="76">
        <v>800597</v>
      </c>
      <c r="E41" s="76" t="s">
        <v>194</v>
      </c>
      <c r="F41" s="76" t="s">
        <v>197</v>
      </c>
      <c r="G41" s="79">
        <v>23.72</v>
      </c>
      <c r="H41" s="76"/>
      <c r="K41" s="10" t="s">
        <v>198</v>
      </c>
      <c r="L41" s="80">
        <f>1493.32+155.72</f>
        <v>1649.04</v>
      </c>
    </row>
    <row r="42" spans="1:14" x14ac:dyDescent="0.25">
      <c r="A42" s="94">
        <v>703</v>
      </c>
      <c r="B42" s="95">
        <v>1869</v>
      </c>
      <c r="C42" s="94">
        <v>803</v>
      </c>
      <c r="D42" s="76">
        <v>800598</v>
      </c>
      <c r="E42" s="76" t="s">
        <v>194</v>
      </c>
      <c r="F42" s="76" t="s">
        <v>199</v>
      </c>
      <c r="G42" s="79">
        <v>16.3</v>
      </c>
      <c r="H42" s="76"/>
      <c r="K42" s="10" t="s">
        <v>200</v>
      </c>
      <c r="L42" s="80">
        <v>13750</v>
      </c>
    </row>
    <row r="43" spans="1:14" x14ac:dyDescent="0.25">
      <c r="A43" s="94">
        <v>703</v>
      </c>
      <c r="B43" s="95">
        <v>1871</v>
      </c>
      <c r="C43" s="94">
        <v>803</v>
      </c>
      <c r="D43" s="76">
        <v>800601</v>
      </c>
      <c r="E43" s="76" t="s">
        <v>194</v>
      </c>
      <c r="F43" s="76" t="s">
        <v>201</v>
      </c>
      <c r="G43" s="79">
        <v>9.85</v>
      </c>
      <c r="H43" s="76"/>
      <c r="K43" s="10" t="s">
        <v>202</v>
      </c>
      <c r="L43" s="80">
        <v>471.33</v>
      </c>
    </row>
    <row r="44" spans="1:14" x14ac:dyDescent="0.25">
      <c r="A44" s="94">
        <v>703</v>
      </c>
      <c r="B44" s="95">
        <v>1872</v>
      </c>
      <c r="C44" s="94">
        <v>803</v>
      </c>
      <c r="D44" s="76">
        <v>800600</v>
      </c>
      <c r="E44" s="76" t="s">
        <v>194</v>
      </c>
      <c r="F44" s="76" t="s">
        <v>203</v>
      </c>
      <c r="G44" s="79">
        <v>97.35</v>
      </c>
      <c r="H44" s="76"/>
      <c r="K44" s="10" t="s">
        <v>204</v>
      </c>
      <c r="L44" s="80">
        <v>750</v>
      </c>
    </row>
    <row r="45" spans="1:14" x14ac:dyDescent="0.25">
      <c r="A45" s="94">
        <v>703</v>
      </c>
      <c r="B45" s="95">
        <v>1920</v>
      </c>
      <c r="C45" s="94">
        <v>1203</v>
      </c>
      <c r="D45" s="76">
        <v>800629</v>
      </c>
      <c r="E45" s="76" t="s">
        <v>205</v>
      </c>
      <c r="F45" s="76" t="s">
        <v>206</v>
      </c>
      <c r="G45" s="79">
        <v>15</v>
      </c>
      <c r="H45" s="76"/>
      <c r="K45" s="10" t="s">
        <v>207</v>
      </c>
      <c r="L45" s="80">
        <v>7062.12</v>
      </c>
    </row>
    <row r="46" spans="1:14" x14ac:dyDescent="0.25">
      <c r="A46" s="94">
        <v>703</v>
      </c>
      <c r="B46" s="95">
        <v>1924</v>
      </c>
      <c r="C46" s="94">
        <v>1303</v>
      </c>
      <c r="D46" s="76">
        <v>800649</v>
      </c>
      <c r="E46" s="76" t="s">
        <v>205</v>
      </c>
      <c r="F46" s="76" t="s">
        <v>206</v>
      </c>
      <c r="G46" s="79">
        <v>9.85</v>
      </c>
      <c r="H46" s="76"/>
      <c r="K46" s="45" t="s">
        <v>208</v>
      </c>
      <c r="L46" s="80">
        <v>141830.01999999999</v>
      </c>
    </row>
    <row r="47" spans="1:14" x14ac:dyDescent="0.25">
      <c r="A47" s="94">
        <v>703</v>
      </c>
      <c r="B47" s="95">
        <v>1925</v>
      </c>
      <c r="C47" s="94">
        <v>1303</v>
      </c>
      <c r="D47" s="76">
        <v>800650</v>
      </c>
      <c r="E47" s="76" t="s">
        <v>205</v>
      </c>
      <c r="F47" s="76" t="s">
        <v>206</v>
      </c>
      <c r="G47" s="79">
        <v>40</v>
      </c>
      <c r="H47" s="76"/>
      <c r="K47" s="45" t="s">
        <v>135</v>
      </c>
      <c r="L47" s="99">
        <f>L38-L39-L40+L41+L42-L44-L45+L46-L43</f>
        <v>731996.49000000022</v>
      </c>
    </row>
    <row r="48" spans="1:14" x14ac:dyDescent="0.25">
      <c r="A48" s="94">
        <v>703</v>
      </c>
      <c r="B48" s="95">
        <v>1927</v>
      </c>
      <c r="C48" s="94">
        <v>1303</v>
      </c>
      <c r="D48" s="76">
        <v>800651</v>
      </c>
      <c r="E48" s="76" t="s">
        <v>205</v>
      </c>
      <c r="F48" s="76" t="s">
        <v>206</v>
      </c>
      <c r="G48" s="79">
        <v>29.65</v>
      </c>
      <c r="H48" s="76"/>
      <c r="K48" s="10" t="s">
        <v>209</v>
      </c>
      <c r="L48" s="80">
        <f>SUM(G168:G230)</f>
        <v>152342.53999999998</v>
      </c>
    </row>
    <row r="49" spans="1:12" x14ac:dyDescent="0.25">
      <c r="A49" s="94">
        <v>1103</v>
      </c>
      <c r="B49" s="95">
        <v>1921</v>
      </c>
      <c r="C49" s="94">
        <v>1303</v>
      </c>
      <c r="D49" s="76">
        <v>800655</v>
      </c>
      <c r="E49" s="76" t="s">
        <v>205</v>
      </c>
      <c r="F49" s="76" t="s">
        <v>206</v>
      </c>
      <c r="G49" s="79">
        <v>16.3</v>
      </c>
      <c r="H49" s="76"/>
      <c r="K49" s="10" t="s">
        <v>210</v>
      </c>
      <c r="L49" s="80">
        <v>68571</v>
      </c>
    </row>
    <row r="50" spans="1:12" x14ac:dyDescent="0.25">
      <c r="A50" s="94">
        <v>1203</v>
      </c>
      <c r="B50" s="95">
        <v>2061</v>
      </c>
      <c r="C50" s="94">
        <v>1303</v>
      </c>
      <c r="D50" s="76">
        <v>800646</v>
      </c>
      <c r="E50" s="76" t="s">
        <v>8</v>
      </c>
      <c r="F50" s="76" t="s">
        <v>211</v>
      </c>
      <c r="G50" s="79">
        <v>1204.8</v>
      </c>
      <c r="H50" s="76"/>
      <c r="K50" s="10" t="s">
        <v>212</v>
      </c>
      <c r="L50" s="80">
        <v>12000</v>
      </c>
    </row>
    <row r="51" spans="1:12" x14ac:dyDescent="0.25">
      <c r="A51" s="94">
        <v>1303</v>
      </c>
      <c r="B51" s="95">
        <v>2113</v>
      </c>
      <c r="C51" s="94">
        <v>1403</v>
      </c>
      <c r="D51" s="76">
        <v>800700</v>
      </c>
      <c r="E51" s="76" t="s">
        <v>12</v>
      </c>
      <c r="F51" s="76" t="s">
        <v>213</v>
      </c>
      <c r="G51" s="79">
        <v>61494.26</v>
      </c>
      <c r="H51" s="76"/>
      <c r="K51" s="10" t="s">
        <v>214</v>
      </c>
      <c r="L51" s="80">
        <v>1269.45</v>
      </c>
    </row>
    <row r="52" spans="1:12" x14ac:dyDescent="0.25">
      <c r="A52" s="94">
        <v>1303</v>
      </c>
      <c r="B52" s="95">
        <v>2118</v>
      </c>
      <c r="C52" s="94">
        <v>1403</v>
      </c>
      <c r="D52" s="76">
        <v>800679</v>
      </c>
      <c r="E52" s="76" t="s">
        <v>194</v>
      </c>
      <c r="F52" s="76" t="s">
        <v>197</v>
      </c>
      <c r="G52" s="79">
        <v>59.3</v>
      </c>
      <c r="H52" s="76"/>
      <c r="K52" s="10" t="s">
        <v>215</v>
      </c>
      <c r="L52" s="80">
        <f>Dispensa!E3</f>
        <v>44127.5</v>
      </c>
    </row>
    <row r="53" spans="1:12" x14ac:dyDescent="0.25">
      <c r="A53" s="94">
        <v>1303</v>
      </c>
      <c r="B53" s="95">
        <v>2119</v>
      </c>
      <c r="C53" s="94">
        <v>1403</v>
      </c>
      <c r="D53" s="76">
        <v>800678</v>
      </c>
      <c r="E53" s="76" t="s">
        <v>194</v>
      </c>
      <c r="F53" s="76" t="s">
        <v>199</v>
      </c>
      <c r="G53" s="79">
        <v>65.2</v>
      </c>
      <c r="H53" s="76"/>
      <c r="K53" s="10" t="s">
        <v>216</v>
      </c>
      <c r="L53" s="80">
        <v>60</v>
      </c>
    </row>
    <row r="54" spans="1:12" x14ac:dyDescent="0.25">
      <c r="A54" s="94">
        <v>1303</v>
      </c>
      <c r="B54" s="95">
        <v>2121</v>
      </c>
      <c r="C54" s="94">
        <v>1403</v>
      </c>
      <c r="D54" s="76">
        <v>800677</v>
      </c>
      <c r="E54" s="76" t="s">
        <v>194</v>
      </c>
      <c r="F54" s="76" t="s">
        <v>201</v>
      </c>
      <c r="G54" s="79">
        <v>39.4</v>
      </c>
      <c r="H54" s="76"/>
      <c r="K54" s="10" t="s">
        <v>217</v>
      </c>
      <c r="L54" s="80">
        <v>1500</v>
      </c>
    </row>
    <row r="55" spans="1:12" x14ac:dyDescent="0.25">
      <c r="A55" s="94">
        <v>1303</v>
      </c>
      <c r="B55" s="95">
        <v>2125</v>
      </c>
      <c r="C55" s="94">
        <v>1403</v>
      </c>
      <c r="D55" s="76">
        <v>800675</v>
      </c>
      <c r="E55" s="76" t="s">
        <v>194</v>
      </c>
      <c r="F55" s="76" t="s">
        <v>218</v>
      </c>
      <c r="G55" s="79">
        <v>120</v>
      </c>
      <c r="H55" s="76"/>
      <c r="K55" s="10" t="s">
        <v>219</v>
      </c>
      <c r="L55" s="80">
        <v>13500</v>
      </c>
    </row>
    <row r="56" spans="1:12" x14ac:dyDescent="0.25">
      <c r="A56" s="94">
        <v>1403</v>
      </c>
      <c r="B56" s="95">
        <v>2262</v>
      </c>
      <c r="C56" s="94">
        <v>2503</v>
      </c>
      <c r="D56" s="76">
        <v>800826</v>
      </c>
      <c r="E56" s="76" t="s">
        <v>89</v>
      </c>
      <c r="F56" s="76" t="s">
        <v>220</v>
      </c>
      <c r="G56" s="79">
        <v>2609.14</v>
      </c>
      <c r="H56" s="76"/>
      <c r="K56" s="10" t="s">
        <v>221</v>
      </c>
      <c r="L56" s="80">
        <v>1500</v>
      </c>
    </row>
    <row r="57" spans="1:12" x14ac:dyDescent="0.25">
      <c r="A57" s="94">
        <v>1403</v>
      </c>
      <c r="B57" s="95">
        <v>2276</v>
      </c>
      <c r="C57" s="94">
        <v>1503</v>
      </c>
      <c r="D57" s="76">
        <v>800718</v>
      </c>
      <c r="E57" s="76" t="s">
        <v>222</v>
      </c>
      <c r="F57" s="76" t="s">
        <v>223</v>
      </c>
      <c r="G57" s="79">
        <v>2760</v>
      </c>
      <c r="H57" s="76"/>
      <c r="K57" s="45" t="s">
        <v>135</v>
      </c>
      <c r="L57" s="99">
        <f>L47-L48-L49+L50+L51-L52-L53+L54+L55+L56</f>
        <v>496664.90000000014</v>
      </c>
    </row>
    <row r="58" spans="1:12" x14ac:dyDescent="0.25">
      <c r="A58" s="94">
        <v>1503</v>
      </c>
      <c r="B58" s="95">
        <v>2359</v>
      </c>
      <c r="C58" s="94">
        <v>1803</v>
      </c>
      <c r="D58" s="76">
        <v>800742</v>
      </c>
      <c r="E58" s="76" t="s">
        <v>38</v>
      </c>
      <c r="F58" s="76" t="s">
        <v>224</v>
      </c>
      <c r="G58" s="79">
        <v>225.26</v>
      </c>
      <c r="H58" s="76"/>
      <c r="K58" s="10" t="s">
        <v>225</v>
      </c>
      <c r="L58" s="80">
        <f>SUM(G231:G257)</f>
        <v>154853.76999999999</v>
      </c>
    </row>
    <row r="59" spans="1:12" x14ac:dyDescent="0.25">
      <c r="A59" s="94">
        <v>1503</v>
      </c>
      <c r="B59" s="95">
        <v>2367</v>
      </c>
      <c r="C59" s="94">
        <v>1803</v>
      </c>
      <c r="D59" s="76">
        <v>800733</v>
      </c>
      <c r="E59" s="76" t="s">
        <v>38</v>
      </c>
      <c r="F59" s="76" t="s">
        <v>226</v>
      </c>
      <c r="G59" s="79">
        <v>159.4</v>
      </c>
      <c r="H59" s="76"/>
      <c r="K59" s="10" t="s">
        <v>227</v>
      </c>
      <c r="L59" s="80">
        <v>1372.23</v>
      </c>
    </row>
    <row r="60" spans="1:12" x14ac:dyDescent="0.25">
      <c r="A60" s="94">
        <v>1503</v>
      </c>
      <c r="B60" s="95">
        <v>2369</v>
      </c>
      <c r="C60" s="94">
        <v>1803</v>
      </c>
      <c r="D60" s="76">
        <v>800754</v>
      </c>
      <c r="E60" s="76" t="s">
        <v>205</v>
      </c>
      <c r="F60" s="76" t="s">
        <v>228</v>
      </c>
      <c r="G60" s="79">
        <v>37.200000000000003</v>
      </c>
      <c r="H60" s="76"/>
      <c r="K60" s="10" t="s">
        <v>229</v>
      </c>
      <c r="L60" s="80">
        <f>Dispensa!E4</f>
        <v>17999.990000000002</v>
      </c>
    </row>
    <row r="61" spans="1:12" x14ac:dyDescent="0.25">
      <c r="A61" s="94">
        <v>1503</v>
      </c>
      <c r="B61" s="95">
        <v>2370</v>
      </c>
      <c r="C61" s="94">
        <v>1803</v>
      </c>
      <c r="D61" s="76">
        <v>800732</v>
      </c>
      <c r="E61" s="76" t="s">
        <v>205</v>
      </c>
      <c r="F61" s="76" t="s">
        <v>228</v>
      </c>
      <c r="G61" s="79">
        <v>19.96</v>
      </c>
      <c r="H61" s="76"/>
      <c r="K61" s="10" t="s">
        <v>230</v>
      </c>
      <c r="L61" s="80">
        <v>4000</v>
      </c>
    </row>
    <row r="62" spans="1:12" x14ac:dyDescent="0.25">
      <c r="A62" s="94">
        <v>1503</v>
      </c>
      <c r="B62" s="95">
        <v>2371</v>
      </c>
      <c r="C62" s="94">
        <v>1803</v>
      </c>
      <c r="D62" s="76">
        <v>800731</v>
      </c>
      <c r="E62" s="76" t="s">
        <v>205</v>
      </c>
      <c r="F62" s="76" t="s">
        <v>231</v>
      </c>
      <c r="G62" s="79">
        <v>148.25</v>
      </c>
      <c r="H62" s="76"/>
      <c r="K62" s="10" t="s">
        <v>232</v>
      </c>
      <c r="L62" s="80">
        <f>3*2400</f>
        <v>7200</v>
      </c>
    </row>
    <row r="63" spans="1:12" x14ac:dyDescent="0.25">
      <c r="A63" s="94">
        <v>1803</v>
      </c>
      <c r="B63" s="95">
        <v>2418</v>
      </c>
      <c r="C63" s="94">
        <v>2103</v>
      </c>
      <c r="D63" s="76">
        <v>800796</v>
      </c>
      <c r="E63" s="76" t="s">
        <v>205</v>
      </c>
      <c r="F63" s="76" t="s">
        <v>231</v>
      </c>
      <c r="G63" s="79">
        <v>75</v>
      </c>
      <c r="H63" s="76"/>
      <c r="K63" s="10" t="s">
        <v>233</v>
      </c>
      <c r="L63" s="80">
        <v>8372</v>
      </c>
    </row>
    <row r="64" spans="1:12" x14ac:dyDescent="0.25">
      <c r="A64" s="94">
        <v>1803</v>
      </c>
      <c r="B64" s="95">
        <v>2421</v>
      </c>
      <c r="C64" s="94">
        <v>2103</v>
      </c>
      <c r="D64" s="76">
        <v>800795</v>
      </c>
      <c r="E64" s="76" t="s">
        <v>205</v>
      </c>
      <c r="F64" s="76" t="s">
        <v>231</v>
      </c>
      <c r="G64" s="79">
        <v>14</v>
      </c>
      <c r="H64" s="76"/>
      <c r="K64" s="10" t="s">
        <v>234</v>
      </c>
      <c r="L64" s="80">
        <v>50000</v>
      </c>
    </row>
    <row r="65" spans="1:12" x14ac:dyDescent="0.25">
      <c r="A65" s="94">
        <v>1803</v>
      </c>
      <c r="B65" s="95">
        <v>2423</v>
      </c>
      <c r="C65" s="94">
        <v>2103</v>
      </c>
      <c r="D65" s="76">
        <v>800794</v>
      </c>
      <c r="E65" s="76" t="s">
        <v>205</v>
      </c>
      <c r="F65" s="76" t="s">
        <v>231</v>
      </c>
      <c r="G65" s="79">
        <v>49.94</v>
      </c>
      <c r="H65" s="76"/>
      <c r="K65" s="10" t="s">
        <v>235</v>
      </c>
      <c r="L65" s="80">
        <v>50</v>
      </c>
    </row>
    <row r="66" spans="1:12" x14ac:dyDescent="0.25">
      <c r="A66" s="94">
        <v>1803</v>
      </c>
      <c r="B66" s="95">
        <v>2434</v>
      </c>
      <c r="C66" s="94">
        <v>2003</v>
      </c>
      <c r="D66" s="76">
        <v>800787</v>
      </c>
      <c r="E66" s="76" t="s">
        <v>205</v>
      </c>
      <c r="F66" s="76" t="s">
        <v>236</v>
      </c>
      <c r="G66" s="79">
        <v>108.13</v>
      </c>
      <c r="H66" s="76"/>
      <c r="K66" s="10" t="s">
        <v>237</v>
      </c>
      <c r="L66" s="80">
        <v>2000</v>
      </c>
    </row>
    <row r="67" spans="1:12" x14ac:dyDescent="0.25">
      <c r="A67" s="94">
        <v>1803</v>
      </c>
      <c r="B67" s="95">
        <v>2435</v>
      </c>
      <c r="C67" s="94">
        <v>2003</v>
      </c>
      <c r="D67" s="76">
        <v>800786</v>
      </c>
      <c r="E67" s="76" t="s">
        <v>205</v>
      </c>
      <c r="F67" s="76" t="s">
        <v>236</v>
      </c>
      <c r="G67" s="79">
        <v>35</v>
      </c>
      <c r="H67" s="76"/>
      <c r="K67" s="10" t="s">
        <v>238</v>
      </c>
      <c r="L67" s="80">
        <v>12000</v>
      </c>
    </row>
    <row r="68" spans="1:12" x14ac:dyDescent="0.25">
      <c r="A68" s="94">
        <v>1903</v>
      </c>
      <c r="B68" s="95">
        <v>2518</v>
      </c>
      <c r="C68" s="94">
        <v>2003</v>
      </c>
      <c r="D68" s="76">
        <v>800768</v>
      </c>
      <c r="E68" s="76" t="s">
        <v>239</v>
      </c>
      <c r="F68" s="76" t="s">
        <v>240</v>
      </c>
      <c r="G68" s="79">
        <v>20</v>
      </c>
      <c r="H68" s="76"/>
      <c r="K68" s="10" t="s">
        <v>241</v>
      </c>
      <c r="L68" s="80">
        <v>1145</v>
      </c>
    </row>
    <row r="69" spans="1:12" x14ac:dyDescent="0.25">
      <c r="A69" s="94">
        <v>2003</v>
      </c>
      <c r="B69" s="95">
        <v>2548</v>
      </c>
      <c r="C69" s="94">
        <v>2103</v>
      </c>
      <c r="D69" s="76">
        <v>800806</v>
      </c>
      <c r="E69" s="76" t="s">
        <v>242</v>
      </c>
      <c r="F69" s="76" t="s">
        <v>243</v>
      </c>
      <c r="G69" s="79">
        <v>66</v>
      </c>
      <c r="H69" s="76"/>
      <c r="K69" s="45" t="s">
        <v>135</v>
      </c>
      <c r="L69" s="99">
        <f>L57-L58-L59-L60+L61+L62+L63+L64-L65+L66-L67+L68</f>
        <v>383105.91000000015</v>
      </c>
    </row>
    <row r="70" spans="1:12" x14ac:dyDescent="0.25">
      <c r="A70" s="94">
        <v>2003</v>
      </c>
      <c r="B70" s="95">
        <v>2494</v>
      </c>
      <c r="C70" s="94">
        <v>2103</v>
      </c>
      <c r="D70" s="76">
        <v>800813</v>
      </c>
      <c r="E70" s="76" t="s">
        <v>89</v>
      </c>
      <c r="F70" s="76" t="s">
        <v>244</v>
      </c>
      <c r="G70" s="79">
        <v>5693.87</v>
      </c>
      <c r="H70" s="76"/>
      <c r="K70" s="10" t="s">
        <v>245</v>
      </c>
      <c r="L70" s="80">
        <f>SUM(G258:G283)</f>
        <v>47144.499999999993</v>
      </c>
    </row>
    <row r="71" spans="1:12" x14ac:dyDescent="0.25">
      <c r="A71" s="94">
        <v>2003</v>
      </c>
      <c r="B71" s="95">
        <v>2512</v>
      </c>
      <c r="C71" s="94">
        <v>2103</v>
      </c>
      <c r="D71" s="76">
        <v>800812</v>
      </c>
      <c r="E71" s="76" t="s">
        <v>89</v>
      </c>
      <c r="F71" s="76" t="s">
        <v>246</v>
      </c>
      <c r="G71" s="79">
        <v>3227</v>
      </c>
      <c r="H71" s="76"/>
      <c r="K71" s="10" t="s">
        <v>247</v>
      </c>
      <c r="L71" s="80">
        <v>2000</v>
      </c>
    </row>
    <row r="72" spans="1:12" x14ac:dyDescent="0.25">
      <c r="A72" s="94">
        <v>2003</v>
      </c>
      <c r="B72" s="95">
        <v>2553</v>
      </c>
      <c r="C72" s="94">
        <v>2103</v>
      </c>
      <c r="D72" s="76">
        <v>400367</v>
      </c>
      <c r="E72" s="76" t="s">
        <v>127</v>
      </c>
      <c r="F72" s="76" t="s">
        <v>248</v>
      </c>
      <c r="G72" s="79">
        <v>6120</v>
      </c>
      <c r="H72" s="76"/>
      <c r="K72" s="10" t="s">
        <v>249</v>
      </c>
      <c r="L72" s="80">
        <v>2000</v>
      </c>
    </row>
    <row r="73" spans="1:12" x14ac:dyDescent="0.25">
      <c r="A73" s="94">
        <v>2103</v>
      </c>
      <c r="B73" s="95">
        <v>2556</v>
      </c>
      <c r="C73" s="94">
        <v>2503</v>
      </c>
      <c r="D73" s="76">
        <v>800833</v>
      </c>
      <c r="E73" s="76" t="s">
        <v>101</v>
      </c>
      <c r="F73" s="76" t="s">
        <v>250</v>
      </c>
      <c r="G73" s="79">
        <v>365.6</v>
      </c>
      <c r="H73" s="76"/>
      <c r="K73" s="10" t="s">
        <v>251</v>
      </c>
      <c r="L73" s="80">
        <v>1025</v>
      </c>
    </row>
    <row r="74" spans="1:12" x14ac:dyDescent="0.25">
      <c r="A74" s="94">
        <v>2503</v>
      </c>
      <c r="B74" s="95">
        <v>2671</v>
      </c>
      <c r="C74" s="94">
        <v>2503</v>
      </c>
      <c r="D74" s="76">
        <v>800845</v>
      </c>
      <c r="E74" s="76" t="s">
        <v>8</v>
      </c>
      <c r="F74" s="76" t="s">
        <v>252</v>
      </c>
      <c r="G74" s="79">
        <v>1539.5</v>
      </c>
      <c r="H74" s="76"/>
      <c r="K74" s="10" t="s">
        <v>253</v>
      </c>
      <c r="L74" s="80">
        <v>645</v>
      </c>
    </row>
    <row r="75" spans="1:12" x14ac:dyDescent="0.25">
      <c r="A75" s="94">
        <v>2603</v>
      </c>
      <c r="B75" s="95">
        <v>2822</v>
      </c>
      <c r="C75" s="94">
        <v>2703</v>
      </c>
      <c r="D75" s="76">
        <v>800887</v>
      </c>
      <c r="E75" s="76" t="s">
        <v>254</v>
      </c>
      <c r="F75" s="76" t="s">
        <v>189</v>
      </c>
      <c r="G75" s="79">
        <v>20</v>
      </c>
      <c r="H75" s="76"/>
      <c r="K75" s="10" t="s">
        <v>255</v>
      </c>
      <c r="L75" s="80">
        <f>Dispensa!E5</f>
        <v>18000</v>
      </c>
    </row>
    <row r="76" spans="1:12" x14ac:dyDescent="0.25">
      <c r="A76" s="94">
        <v>2703</v>
      </c>
      <c r="B76" s="95">
        <v>2830</v>
      </c>
      <c r="C76" s="94">
        <v>2703</v>
      </c>
      <c r="D76" s="76">
        <v>800889</v>
      </c>
      <c r="E76" s="76" t="s">
        <v>148</v>
      </c>
      <c r="F76" s="76" t="s">
        <v>256</v>
      </c>
      <c r="G76" s="79">
        <v>1988.04</v>
      </c>
      <c r="H76" s="76" t="s">
        <v>257</v>
      </c>
      <c r="K76" s="10" t="s">
        <v>258</v>
      </c>
      <c r="L76" s="80">
        <v>10000</v>
      </c>
    </row>
    <row r="77" spans="1:12" x14ac:dyDescent="0.25">
      <c r="A77" s="94">
        <v>104</v>
      </c>
      <c r="B77" s="95">
        <v>3054</v>
      </c>
      <c r="C77" s="94">
        <v>404</v>
      </c>
      <c r="D77" s="76">
        <v>800949</v>
      </c>
      <c r="E77" s="76" t="s">
        <v>205</v>
      </c>
      <c r="F77" s="76" t="s">
        <v>206</v>
      </c>
      <c r="G77" s="79">
        <v>60</v>
      </c>
      <c r="H77" s="76"/>
      <c r="K77" s="10" t="s">
        <v>259</v>
      </c>
      <c r="L77" s="80">
        <v>714.91</v>
      </c>
    </row>
    <row r="78" spans="1:12" x14ac:dyDescent="0.25">
      <c r="A78" s="94">
        <v>104</v>
      </c>
      <c r="B78" s="95">
        <v>3129</v>
      </c>
      <c r="C78" s="94">
        <v>404</v>
      </c>
      <c r="D78" s="76">
        <v>800973</v>
      </c>
      <c r="E78" s="76" t="s">
        <v>254</v>
      </c>
      <c r="F78" s="76" t="s">
        <v>189</v>
      </c>
      <c r="G78" s="79">
        <v>20</v>
      </c>
      <c r="H78" s="76"/>
      <c r="K78" s="10" t="s">
        <v>260</v>
      </c>
      <c r="L78" s="80">
        <v>1362.1</v>
      </c>
    </row>
    <row r="79" spans="1:12" x14ac:dyDescent="0.25">
      <c r="A79" s="94">
        <v>104</v>
      </c>
      <c r="B79" s="95">
        <v>3160</v>
      </c>
      <c r="C79" s="94">
        <v>504</v>
      </c>
      <c r="D79" s="76">
        <v>800990</v>
      </c>
      <c r="E79" s="76" t="s">
        <v>101</v>
      </c>
      <c r="F79" s="76" t="s">
        <v>243</v>
      </c>
      <c r="G79" s="79">
        <v>40</v>
      </c>
      <c r="H79" s="76"/>
      <c r="K79" s="10" t="s">
        <v>261</v>
      </c>
      <c r="L79" s="80">
        <v>8284</v>
      </c>
    </row>
    <row r="80" spans="1:12" x14ac:dyDescent="0.25">
      <c r="A80" s="94">
        <v>104</v>
      </c>
      <c r="B80" s="95">
        <v>3162</v>
      </c>
      <c r="C80" s="94">
        <v>504</v>
      </c>
      <c r="D80" s="76">
        <v>800989</v>
      </c>
      <c r="E80" s="76" t="s">
        <v>101</v>
      </c>
      <c r="F80" s="76" t="s">
        <v>262</v>
      </c>
      <c r="G80" s="79">
        <v>55.84</v>
      </c>
      <c r="H80" s="76"/>
      <c r="K80" s="10" t="s">
        <v>263</v>
      </c>
      <c r="L80" s="80">
        <v>10000</v>
      </c>
    </row>
    <row r="81" spans="1:12" x14ac:dyDescent="0.25">
      <c r="A81" s="94">
        <v>104</v>
      </c>
      <c r="B81" s="95">
        <v>3172</v>
      </c>
      <c r="C81" s="94">
        <v>504</v>
      </c>
      <c r="D81" s="76">
        <v>800988</v>
      </c>
      <c r="E81" s="76" t="s">
        <v>101</v>
      </c>
      <c r="F81" s="76" t="s">
        <v>264</v>
      </c>
      <c r="G81" s="79">
        <v>31.9</v>
      </c>
      <c r="H81" s="124"/>
      <c r="K81" s="10" t="s">
        <v>265</v>
      </c>
      <c r="L81" s="80">
        <v>956</v>
      </c>
    </row>
    <row r="82" spans="1:12" x14ac:dyDescent="0.25">
      <c r="A82" s="94">
        <v>204</v>
      </c>
      <c r="B82" s="95">
        <v>3192</v>
      </c>
      <c r="C82" s="94">
        <v>304</v>
      </c>
      <c r="D82" s="76">
        <v>800933</v>
      </c>
      <c r="E82" s="76" t="s">
        <v>127</v>
      </c>
      <c r="F82" s="76" t="s">
        <v>266</v>
      </c>
      <c r="G82" s="79">
        <v>10000</v>
      </c>
      <c r="H82" s="76"/>
      <c r="K82" s="45" t="s">
        <v>135</v>
      </c>
      <c r="L82" s="99">
        <f>L69-L70+L71+L72-L73-L74-L75-L76-L77-L78+L79-L80-L81</f>
        <v>305542.4000000002</v>
      </c>
    </row>
    <row r="83" spans="1:12" x14ac:dyDescent="0.25">
      <c r="A83" s="94">
        <v>304</v>
      </c>
      <c r="B83" s="95">
        <v>3235</v>
      </c>
      <c r="C83" s="94">
        <v>804</v>
      </c>
      <c r="D83" s="76">
        <v>801030</v>
      </c>
      <c r="E83" s="76" t="s">
        <v>205</v>
      </c>
      <c r="F83" s="76" t="s">
        <v>267</v>
      </c>
      <c r="G83" s="79">
        <v>45</v>
      </c>
      <c r="H83" s="76"/>
      <c r="K83" s="10" t="s">
        <v>268</v>
      </c>
      <c r="L83" s="80">
        <f>SUM(G284:G403)</f>
        <v>88054.94</v>
      </c>
    </row>
    <row r="84" spans="1:12" x14ac:dyDescent="0.25">
      <c r="A84" s="94">
        <v>304</v>
      </c>
      <c r="B84" s="95">
        <v>3237</v>
      </c>
      <c r="C84" s="94">
        <v>804</v>
      </c>
      <c r="D84" s="76">
        <v>801022</v>
      </c>
      <c r="E84" s="76" t="s">
        <v>269</v>
      </c>
      <c r="F84" s="76" t="s">
        <v>270</v>
      </c>
      <c r="G84" s="79">
        <v>1276</v>
      </c>
      <c r="H84" s="76"/>
      <c r="K84" s="10" t="s">
        <v>271</v>
      </c>
      <c r="L84" s="80">
        <v>60</v>
      </c>
    </row>
    <row r="85" spans="1:12" x14ac:dyDescent="0.25">
      <c r="A85" s="94">
        <v>304</v>
      </c>
      <c r="B85" s="95">
        <v>3238</v>
      </c>
      <c r="C85" s="94">
        <v>804</v>
      </c>
      <c r="D85" s="76">
        <v>801021</v>
      </c>
      <c r="E85" s="76" t="s">
        <v>269</v>
      </c>
      <c r="F85" s="76" t="s">
        <v>272</v>
      </c>
      <c r="G85" s="79">
        <v>1916.85</v>
      </c>
      <c r="H85" s="76"/>
      <c r="K85" s="10" t="s">
        <v>273</v>
      </c>
      <c r="L85" s="80">
        <v>5800</v>
      </c>
    </row>
    <row r="86" spans="1:12" x14ac:dyDescent="0.25">
      <c r="A86" s="94">
        <v>404</v>
      </c>
      <c r="B86" s="95">
        <v>3282</v>
      </c>
      <c r="C86" s="94">
        <v>804</v>
      </c>
      <c r="D86" s="76">
        <v>801041</v>
      </c>
      <c r="E86" s="76" t="s">
        <v>205</v>
      </c>
      <c r="F86" s="76" t="s">
        <v>274</v>
      </c>
      <c r="G86" s="79">
        <v>660</v>
      </c>
      <c r="H86" s="76"/>
      <c r="K86" s="10" t="s">
        <v>275</v>
      </c>
      <c r="L86" s="80">
        <v>10000</v>
      </c>
    </row>
    <row r="87" spans="1:12" x14ac:dyDescent="0.25">
      <c r="A87" s="94">
        <v>504</v>
      </c>
      <c r="B87" s="95">
        <v>3318</v>
      </c>
      <c r="C87" s="94">
        <v>904</v>
      </c>
      <c r="D87" s="76">
        <v>400495</v>
      </c>
      <c r="E87" s="76" t="s">
        <v>222</v>
      </c>
      <c r="F87" s="76" t="s">
        <v>276</v>
      </c>
      <c r="G87" s="79">
        <v>200</v>
      </c>
      <c r="H87" s="76"/>
      <c r="K87" s="10" t="s">
        <v>277</v>
      </c>
      <c r="L87" s="80">
        <v>101.85</v>
      </c>
    </row>
    <row r="88" spans="1:12" x14ac:dyDescent="0.25">
      <c r="A88" s="94">
        <v>504</v>
      </c>
      <c r="B88" s="95">
        <v>3363</v>
      </c>
      <c r="C88" s="94">
        <v>904</v>
      </c>
      <c r="D88" s="76">
        <v>801090</v>
      </c>
      <c r="E88" s="76" t="s">
        <v>89</v>
      </c>
      <c r="F88" s="76" t="s">
        <v>278</v>
      </c>
      <c r="G88" s="79">
        <v>100</v>
      </c>
      <c r="H88" s="76"/>
      <c r="K88" s="10" t="s">
        <v>279</v>
      </c>
      <c r="L88" s="80">
        <v>15</v>
      </c>
    </row>
    <row r="89" spans="1:12" x14ac:dyDescent="0.25">
      <c r="A89" s="94">
        <v>504</v>
      </c>
      <c r="B89" s="95">
        <v>3376</v>
      </c>
      <c r="C89" s="94">
        <v>904</v>
      </c>
      <c r="D89" s="76">
        <v>801089</v>
      </c>
      <c r="E89" s="76" t="s">
        <v>239</v>
      </c>
      <c r="F89" s="76" t="s">
        <v>280</v>
      </c>
      <c r="G89" s="79">
        <v>20</v>
      </c>
      <c r="H89" s="76"/>
      <c r="K89" s="10" t="s">
        <v>281</v>
      </c>
      <c r="L89" s="80">
        <v>15000</v>
      </c>
    </row>
    <row r="90" spans="1:12" x14ac:dyDescent="0.25">
      <c r="A90" s="94">
        <v>504</v>
      </c>
      <c r="B90" s="95">
        <v>3415</v>
      </c>
      <c r="C90" s="94">
        <v>804</v>
      </c>
      <c r="D90" s="76">
        <v>801056</v>
      </c>
      <c r="E90" s="76" t="s">
        <v>89</v>
      </c>
      <c r="F90" s="76" t="s">
        <v>282</v>
      </c>
      <c r="G90" s="79">
        <v>29.48</v>
      </c>
      <c r="H90" s="76"/>
      <c r="K90" s="10" t="s">
        <v>283</v>
      </c>
      <c r="L90" s="80">
        <v>13500</v>
      </c>
    </row>
    <row r="91" spans="1:12" x14ac:dyDescent="0.25">
      <c r="A91" s="94">
        <v>904</v>
      </c>
      <c r="B91" s="95">
        <v>3573</v>
      </c>
      <c r="C91" s="94">
        <v>1004</v>
      </c>
      <c r="D91" s="76">
        <v>801127</v>
      </c>
      <c r="E91" s="76" t="s">
        <v>101</v>
      </c>
      <c r="F91" s="76" t="s">
        <v>284</v>
      </c>
      <c r="G91" s="79">
        <v>596</v>
      </c>
      <c r="H91" s="76"/>
      <c r="K91" s="10" t="s">
        <v>285</v>
      </c>
      <c r="L91" s="80">
        <v>16000</v>
      </c>
    </row>
    <row r="92" spans="1:12" x14ac:dyDescent="0.25">
      <c r="A92" s="94">
        <v>904</v>
      </c>
      <c r="B92" s="95">
        <v>3572</v>
      </c>
      <c r="C92" s="94">
        <v>1004</v>
      </c>
      <c r="D92" s="76">
        <v>801126</v>
      </c>
      <c r="E92" s="76" t="s">
        <v>286</v>
      </c>
      <c r="F92" s="76" t="s">
        <v>287</v>
      </c>
      <c r="G92" s="79">
        <v>20</v>
      </c>
      <c r="H92" s="76"/>
      <c r="K92" s="10" t="s">
        <v>288</v>
      </c>
      <c r="L92" s="80">
        <v>480</v>
      </c>
    </row>
    <row r="93" spans="1:12" x14ac:dyDescent="0.25">
      <c r="A93" s="94">
        <v>1104</v>
      </c>
      <c r="B93" s="95">
        <v>3691</v>
      </c>
      <c r="C93" s="94">
        <v>1204</v>
      </c>
      <c r="D93" s="76">
        <v>801191</v>
      </c>
      <c r="E93" s="76" t="s">
        <v>269</v>
      </c>
      <c r="F93" s="76" t="s">
        <v>289</v>
      </c>
      <c r="G93" s="79">
        <v>242.92</v>
      </c>
      <c r="H93" s="76"/>
      <c r="K93" s="10" t="s">
        <v>290</v>
      </c>
      <c r="L93" s="80">
        <v>5000</v>
      </c>
    </row>
    <row r="94" spans="1:12" x14ac:dyDescent="0.25">
      <c r="A94" s="94">
        <v>1204</v>
      </c>
      <c r="B94" s="95">
        <v>3684</v>
      </c>
      <c r="C94" s="94">
        <v>1204</v>
      </c>
      <c r="D94" s="76">
        <v>801206</v>
      </c>
      <c r="E94" s="76" t="s">
        <v>12</v>
      </c>
      <c r="F94" s="76" t="s">
        <v>291</v>
      </c>
      <c r="G94" s="79">
        <v>912</v>
      </c>
      <c r="H94" s="76"/>
      <c r="K94" s="45" t="s">
        <v>135</v>
      </c>
      <c r="L94" s="99">
        <f>L82-L83-L84-L85-L86-L87-L88-L89+L90-L91-L92-L93</f>
        <v>178530.61000000019</v>
      </c>
    </row>
    <row r="95" spans="1:12" x14ac:dyDescent="0.25">
      <c r="A95" s="94">
        <v>1204</v>
      </c>
      <c r="B95" s="95">
        <v>3685</v>
      </c>
      <c r="C95" s="94">
        <v>1204</v>
      </c>
      <c r="D95" s="76">
        <v>801207</v>
      </c>
      <c r="E95" s="76" t="s">
        <v>12</v>
      </c>
      <c r="F95" s="76" t="s">
        <v>291</v>
      </c>
      <c r="G95" s="79">
        <v>260</v>
      </c>
      <c r="H95" s="76"/>
      <c r="K95" s="10" t="s">
        <v>292</v>
      </c>
      <c r="L95" s="80">
        <f>SUM(G404:G437)</f>
        <v>369069.5</v>
      </c>
    </row>
    <row r="96" spans="1:12" x14ac:dyDescent="0.25">
      <c r="A96" s="94">
        <v>1204</v>
      </c>
      <c r="B96" s="95">
        <v>3708</v>
      </c>
      <c r="C96" s="94">
        <v>1604</v>
      </c>
      <c r="D96" s="76">
        <v>400545</v>
      </c>
      <c r="E96" s="76" t="s">
        <v>269</v>
      </c>
      <c r="F96" s="76" t="s">
        <v>293</v>
      </c>
      <c r="G96" s="79">
        <v>1150</v>
      </c>
      <c r="H96" s="76"/>
      <c r="K96" s="10" t="s">
        <v>294</v>
      </c>
      <c r="L96" s="80">
        <v>2945.7</v>
      </c>
    </row>
    <row r="97" spans="1:12" x14ac:dyDescent="0.25">
      <c r="A97" s="94">
        <v>1204</v>
      </c>
      <c r="B97" s="95">
        <v>3707</v>
      </c>
      <c r="C97" s="94">
        <v>1504</v>
      </c>
      <c r="D97" s="76">
        <v>801214</v>
      </c>
      <c r="E97" s="76" t="s">
        <v>89</v>
      </c>
      <c r="F97" s="76" t="s">
        <v>295</v>
      </c>
      <c r="G97" s="79">
        <v>1000</v>
      </c>
      <c r="H97" s="76"/>
      <c r="K97" s="10" t="s">
        <v>296</v>
      </c>
      <c r="L97" s="80">
        <v>3000</v>
      </c>
    </row>
    <row r="98" spans="1:12" x14ac:dyDescent="0.25">
      <c r="A98" s="94">
        <v>1204</v>
      </c>
      <c r="B98" s="95">
        <v>3714</v>
      </c>
      <c r="C98" s="94">
        <v>1504</v>
      </c>
      <c r="D98" s="76">
        <v>801248</v>
      </c>
      <c r="E98" s="76" t="s">
        <v>194</v>
      </c>
      <c r="F98" s="76" t="s">
        <v>297</v>
      </c>
      <c r="G98" s="79">
        <v>2729</v>
      </c>
      <c r="H98" s="119" t="s">
        <v>257</v>
      </c>
      <c r="K98" s="10" t="s">
        <v>298</v>
      </c>
      <c r="L98" s="80">
        <v>600</v>
      </c>
    </row>
    <row r="99" spans="1:12" x14ac:dyDescent="0.25">
      <c r="A99" s="94">
        <v>1504</v>
      </c>
      <c r="B99" s="95">
        <v>3756</v>
      </c>
      <c r="C99" s="94">
        <v>1504</v>
      </c>
      <c r="D99" s="76">
        <v>801240</v>
      </c>
      <c r="E99" s="76" t="s">
        <v>12</v>
      </c>
      <c r="F99" s="76" t="s">
        <v>299</v>
      </c>
      <c r="G99" s="79">
        <v>205</v>
      </c>
      <c r="H99" s="76"/>
      <c r="K99" s="10" t="s">
        <v>296</v>
      </c>
      <c r="L99" s="80">
        <v>15228.84</v>
      </c>
    </row>
    <row r="100" spans="1:12" x14ac:dyDescent="0.25">
      <c r="A100" s="94">
        <v>1504</v>
      </c>
      <c r="B100" s="95">
        <v>3782</v>
      </c>
      <c r="C100" s="94">
        <v>1704</v>
      </c>
      <c r="D100" s="76">
        <v>400555</v>
      </c>
      <c r="E100" s="76" t="s">
        <v>300</v>
      </c>
      <c r="F100" s="76" t="s">
        <v>301</v>
      </c>
      <c r="G100" s="79">
        <v>100</v>
      </c>
      <c r="H100" s="76"/>
      <c r="K100" s="10" t="s">
        <v>302</v>
      </c>
      <c r="L100" s="80">
        <v>100000</v>
      </c>
    </row>
    <row r="101" spans="1:12" x14ac:dyDescent="0.25">
      <c r="A101" s="94">
        <v>1504</v>
      </c>
      <c r="B101" s="95">
        <v>3785</v>
      </c>
      <c r="C101" s="94">
        <v>1704</v>
      </c>
      <c r="D101" s="76">
        <v>400557</v>
      </c>
      <c r="E101" s="76" t="s">
        <v>300</v>
      </c>
      <c r="F101" s="76" t="s">
        <v>303</v>
      </c>
      <c r="G101" s="79">
        <v>80</v>
      </c>
      <c r="H101" s="76"/>
      <c r="K101" s="10" t="s">
        <v>304</v>
      </c>
      <c r="L101" s="80">
        <v>180</v>
      </c>
    </row>
    <row r="102" spans="1:12" x14ac:dyDescent="0.25">
      <c r="A102" s="94">
        <v>1504</v>
      </c>
      <c r="B102" s="95">
        <v>3788</v>
      </c>
      <c r="C102" s="94">
        <v>1704</v>
      </c>
      <c r="D102" s="76">
        <v>400556</v>
      </c>
      <c r="E102" s="76" t="s">
        <v>300</v>
      </c>
      <c r="F102" s="76" t="s">
        <v>305</v>
      </c>
      <c r="G102" s="79">
        <v>150</v>
      </c>
      <c r="H102" s="76"/>
      <c r="K102" s="10" t="s">
        <v>306</v>
      </c>
      <c r="L102" s="80">
        <v>180</v>
      </c>
    </row>
    <row r="103" spans="1:12" x14ac:dyDescent="0.25">
      <c r="A103" s="94">
        <v>1604</v>
      </c>
      <c r="B103" s="95">
        <v>3852</v>
      </c>
      <c r="C103" s="94">
        <v>1604</v>
      </c>
      <c r="D103" s="76">
        <v>801273</v>
      </c>
      <c r="E103" s="76" t="s">
        <v>222</v>
      </c>
      <c r="F103" s="76" t="s">
        <v>307</v>
      </c>
      <c r="G103" s="79">
        <v>656.3</v>
      </c>
      <c r="H103" s="76"/>
      <c r="K103" s="10" t="s">
        <v>308</v>
      </c>
      <c r="L103" s="80">
        <v>34917</v>
      </c>
    </row>
    <row r="104" spans="1:12" x14ac:dyDescent="0.25">
      <c r="A104" s="94">
        <v>1704</v>
      </c>
      <c r="B104" s="95">
        <v>3746</v>
      </c>
      <c r="C104" s="94">
        <v>2304</v>
      </c>
      <c r="D104" s="76">
        <v>400618</v>
      </c>
      <c r="E104" s="76" t="s">
        <v>286</v>
      </c>
      <c r="F104" s="10" t="s">
        <v>309</v>
      </c>
      <c r="G104" s="23">
        <v>786.14999999999986</v>
      </c>
      <c r="H104" s="76"/>
      <c r="K104" s="10" t="s">
        <v>310</v>
      </c>
      <c r="L104" s="80">
        <f>Dispensa!E8+Dispensa!E9</f>
        <v>18952.79</v>
      </c>
    </row>
    <row r="105" spans="1:12" x14ac:dyDescent="0.25">
      <c r="A105" s="94">
        <v>1704</v>
      </c>
      <c r="B105" s="95">
        <v>3675</v>
      </c>
      <c r="C105" s="94">
        <v>2504</v>
      </c>
      <c r="D105" s="76">
        <v>400625</v>
      </c>
      <c r="E105" s="76" t="s">
        <v>311</v>
      </c>
      <c r="F105" s="76" t="s">
        <v>312</v>
      </c>
      <c r="G105" s="79">
        <v>130</v>
      </c>
      <c r="H105" s="76"/>
      <c r="K105" s="45" t="s">
        <v>313</v>
      </c>
      <c r="L105" s="80">
        <v>156815.03</v>
      </c>
    </row>
    <row r="106" spans="1:12" x14ac:dyDescent="0.25">
      <c r="A106" s="94">
        <v>1704</v>
      </c>
      <c r="B106" s="95">
        <v>3676</v>
      </c>
      <c r="C106" s="94">
        <v>2504</v>
      </c>
      <c r="D106" s="76">
        <v>400636</v>
      </c>
      <c r="E106" s="76" t="s">
        <v>311</v>
      </c>
      <c r="F106" s="76" t="s">
        <v>314</v>
      </c>
      <c r="G106" s="79">
        <v>200</v>
      </c>
      <c r="H106" s="76"/>
      <c r="K106" s="10" t="s">
        <v>315</v>
      </c>
      <c r="L106" s="80">
        <v>777.11</v>
      </c>
    </row>
    <row r="107" spans="1:12" x14ac:dyDescent="0.25">
      <c r="A107" s="94">
        <v>1704</v>
      </c>
      <c r="B107" s="95">
        <v>3900</v>
      </c>
      <c r="C107" s="94">
        <v>2304</v>
      </c>
      <c r="D107" s="76">
        <v>400619</v>
      </c>
      <c r="E107" s="76" t="s">
        <v>38</v>
      </c>
      <c r="F107" s="10" t="s">
        <v>316</v>
      </c>
      <c r="G107" s="23">
        <v>1372.67</v>
      </c>
      <c r="H107" s="76"/>
      <c r="K107" s="45" t="s">
        <v>135</v>
      </c>
      <c r="L107" s="99">
        <f>L94-L95-L96-L97-L98-L99+L100-L101-L102+L103-L104+L105-L106</f>
        <v>59328.700000000172</v>
      </c>
    </row>
    <row r="108" spans="1:12" x14ac:dyDescent="0.25">
      <c r="A108" s="94">
        <v>1804</v>
      </c>
      <c r="B108" s="95">
        <v>3929</v>
      </c>
      <c r="C108" s="94">
        <v>1804</v>
      </c>
      <c r="D108" s="76">
        <v>801330</v>
      </c>
      <c r="E108" s="76" t="s">
        <v>8</v>
      </c>
      <c r="F108" s="76" t="s">
        <v>317</v>
      </c>
      <c r="G108" s="79">
        <v>8400</v>
      </c>
      <c r="H108" s="76"/>
      <c r="K108" s="10" t="s">
        <v>1580</v>
      </c>
      <c r="L108" s="80">
        <f>SUM(G438:G449)</f>
        <v>261446.75</v>
      </c>
    </row>
    <row r="109" spans="1:12" x14ac:dyDescent="0.25">
      <c r="A109" s="94">
        <v>1804</v>
      </c>
      <c r="B109" s="95">
        <v>3925</v>
      </c>
      <c r="C109" s="94">
        <v>1804</v>
      </c>
      <c r="D109" s="76">
        <v>801328</v>
      </c>
      <c r="E109" s="76" t="s">
        <v>8</v>
      </c>
      <c r="F109" s="76" t="s">
        <v>318</v>
      </c>
      <c r="G109" s="79">
        <v>18095.900000000001</v>
      </c>
      <c r="H109" s="76"/>
      <c r="K109" s="45" t="s">
        <v>1581</v>
      </c>
      <c r="L109" s="80">
        <v>258446.75</v>
      </c>
    </row>
    <row r="110" spans="1:12" x14ac:dyDescent="0.25">
      <c r="A110" s="94">
        <v>1804</v>
      </c>
      <c r="B110" s="95">
        <v>3930</v>
      </c>
      <c r="C110" s="94">
        <v>2204</v>
      </c>
      <c r="D110" s="76">
        <v>801331</v>
      </c>
      <c r="E110" s="76" t="s">
        <v>8</v>
      </c>
      <c r="F110" s="76" t="s">
        <v>319</v>
      </c>
      <c r="G110" s="79">
        <v>42075</v>
      </c>
      <c r="H110" s="76"/>
      <c r="K110" s="45" t="s">
        <v>135</v>
      </c>
      <c r="L110" s="99">
        <f>L107-L108+L109</f>
        <v>56328.700000000186</v>
      </c>
    </row>
    <row r="111" spans="1:12" x14ac:dyDescent="0.25">
      <c r="A111" s="94">
        <v>1804</v>
      </c>
      <c r="B111" s="95">
        <v>3938</v>
      </c>
      <c r="C111" s="94">
        <v>1804</v>
      </c>
      <c r="D111" s="76">
        <v>801324</v>
      </c>
      <c r="E111" s="76" t="s">
        <v>254</v>
      </c>
      <c r="F111" s="76" t="s">
        <v>320</v>
      </c>
      <c r="G111" s="79">
        <v>2338.8000000000002</v>
      </c>
      <c r="H111" s="76"/>
    </row>
    <row r="112" spans="1:12" x14ac:dyDescent="0.25">
      <c r="A112" s="94">
        <v>2204</v>
      </c>
      <c r="B112" s="95">
        <v>3996</v>
      </c>
      <c r="C112" s="94">
        <v>2304</v>
      </c>
      <c r="D112" s="76">
        <v>400592</v>
      </c>
      <c r="E112" s="76" t="s">
        <v>127</v>
      </c>
      <c r="F112" s="76" t="s">
        <v>321</v>
      </c>
      <c r="G112" s="79">
        <v>14000</v>
      </c>
      <c r="H112" s="76"/>
    </row>
    <row r="113" spans="1:12" x14ac:dyDescent="0.25">
      <c r="A113" s="94">
        <v>2204</v>
      </c>
      <c r="B113" s="95">
        <v>4006</v>
      </c>
      <c r="C113" s="94">
        <v>2304</v>
      </c>
      <c r="D113" s="76">
        <v>400605</v>
      </c>
      <c r="E113" s="76" t="s">
        <v>127</v>
      </c>
      <c r="F113" s="76" t="s">
        <v>157</v>
      </c>
      <c r="G113" s="79">
        <v>36000</v>
      </c>
      <c r="H113" s="76"/>
      <c r="L113" s="66"/>
    </row>
    <row r="114" spans="1:12" x14ac:dyDescent="0.25">
      <c r="A114" s="94">
        <v>2504</v>
      </c>
      <c r="B114" s="95">
        <v>3743</v>
      </c>
      <c r="C114" s="94">
        <v>2904</v>
      </c>
      <c r="D114" s="76">
        <v>400653</v>
      </c>
      <c r="E114" s="76" t="s">
        <v>286</v>
      </c>
      <c r="F114" s="76" t="s">
        <v>322</v>
      </c>
      <c r="G114" s="79">
        <v>55</v>
      </c>
      <c r="H114" s="76"/>
    </row>
    <row r="115" spans="1:12" x14ac:dyDescent="0.25">
      <c r="A115" s="94">
        <v>2504</v>
      </c>
      <c r="B115" s="95">
        <v>3994</v>
      </c>
      <c r="C115" s="94">
        <v>2904</v>
      </c>
      <c r="D115" s="76">
        <v>400654</v>
      </c>
      <c r="E115" s="76" t="s">
        <v>286</v>
      </c>
      <c r="F115" s="76" t="s">
        <v>323</v>
      </c>
      <c r="G115" s="79">
        <v>340</v>
      </c>
      <c r="H115" s="76"/>
    </row>
    <row r="116" spans="1:12" x14ac:dyDescent="0.25">
      <c r="A116" s="94">
        <v>2504</v>
      </c>
      <c r="B116" s="95">
        <v>4137</v>
      </c>
      <c r="C116" s="94">
        <v>2604</v>
      </c>
      <c r="D116" s="76">
        <v>801391</v>
      </c>
      <c r="E116" s="76" t="s">
        <v>194</v>
      </c>
      <c r="F116" s="76" t="s">
        <v>324</v>
      </c>
      <c r="G116" s="79">
        <v>16.399999999999995</v>
      </c>
      <c r="H116" s="76"/>
    </row>
    <row r="117" spans="1:12" x14ac:dyDescent="0.25">
      <c r="A117" s="94">
        <v>2604</v>
      </c>
      <c r="B117" s="95">
        <v>4196</v>
      </c>
      <c r="C117" s="94">
        <v>2604</v>
      </c>
      <c r="D117" s="76">
        <v>801425</v>
      </c>
      <c r="E117" s="76" t="s">
        <v>127</v>
      </c>
      <c r="F117" s="76" t="s">
        <v>325</v>
      </c>
      <c r="G117" s="79">
        <v>2391.59</v>
      </c>
      <c r="H117" s="76"/>
    </row>
    <row r="118" spans="1:12" x14ac:dyDescent="0.25">
      <c r="A118" s="94">
        <v>2604</v>
      </c>
      <c r="B118" s="95">
        <v>4218</v>
      </c>
      <c r="C118" s="94">
        <v>2604</v>
      </c>
      <c r="D118" s="76">
        <v>801438</v>
      </c>
      <c r="E118" s="76" t="s">
        <v>89</v>
      </c>
      <c r="F118" s="76" t="s">
        <v>326</v>
      </c>
      <c r="G118" s="79">
        <v>25653.61</v>
      </c>
      <c r="H118" s="76"/>
    </row>
    <row r="119" spans="1:12" x14ac:dyDescent="0.25">
      <c r="A119" s="94">
        <v>2604</v>
      </c>
      <c r="B119" s="95">
        <v>4234</v>
      </c>
      <c r="C119" s="94">
        <v>2904</v>
      </c>
      <c r="D119" s="76">
        <v>801433</v>
      </c>
      <c r="E119" s="76" t="s">
        <v>327</v>
      </c>
      <c r="F119" s="76" t="s">
        <v>243</v>
      </c>
      <c r="G119" s="79">
        <v>60</v>
      </c>
      <c r="H119" s="76"/>
    </row>
    <row r="120" spans="1:12" x14ac:dyDescent="0.25">
      <c r="A120" s="94">
        <v>205</v>
      </c>
      <c r="B120" s="95">
        <v>4400</v>
      </c>
      <c r="C120" s="94">
        <v>705</v>
      </c>
      <c r="D120" s="76">
        <v>801535</v>
      </c>
      <c r="E120" s="76" t="s">
        <v>205</v>
      </c>
      <c r="F120" s="76" t="s">
        <v>328</v>
      </c>
      <c r="G120" s="79">
        <v>299.86</v>
      </c>
      <c r="H120" s="76"/>
    </row>
    <row r="121" spans="1:12" x14ac:dyDescent="0.25">
      <c r="A121" s="94">
        <v>305</v>
      </c>
      <c r="B121" s="95">
        <v>4421</v>
      </c>
      <c r="C121" s="94">
        <v>805</v>
      </c>
      <c r="D121" s="76">
        <v>400701</v>
      </c>
      <c r="E121" s="76" t="s">
        <v>12</v>
      </c>
      <c r="F121" s="76" t="s">
        <v>329</v>
      </c>
      <c r="G121" s="79">
        <v>430</v>
      </c>
      <c r="H121" s="76"/>
    </row>
    <row r="122" spans="1:12" x14ac:dyDescent="0.25">
      <c r="A122" s="94">
        <v>305</v>
      </c>
      <c r="B122" s="95">
        <v>4406</v>
      </c>
      <c r="C122" s="94">
        <v>605</v>
      </c>
      <c r="D122" s="76">
        <v>801519</v>
      </c>
      <c r="E122" s="76" t="s">
        <v>205</v>
      </c>
      <c r="F122" s="76" t="s">
        <v>328</v>
      </c>
      <c r="G122" s="79">
        <v>110.96</v>
      </c>
      <c r="H122" s="76"/>
    </row>
    <row r="123" spans="1:12" x14ac:dyDescent="0.25">
      <c r="A123" s="94">
        <v>305</v>
      </c>
      <c r="B123" s="95">
        <v>4407</v>
      </c>
      <c r="C123" s="94">
        <v>605</v>
      </c>
      <c r="D123" s="76">
        <v>801518</v>
      </c>
      <c r="E123" s="76" t="s">
        <v>205</v>
      </c>
      <c r="F123" s="76" t="s">
        <v>330</v>
      </c>
      <c r="G123" s="79">
        <v>50</v>
      </c>
      <c r="H123" s="76"/>
    </row>
    <row r="124" spans="1:12" x14ac:dyDescent="0.25">
      <c r="A124" s="94">
        <v>305</v>
      </c>
      <c r="B124" s="95">
        <v>4408</v>
      </c>
      <c r="C124" s="94">
        <v>605</v>
      </c>
      <c r="D124" s="76">
        <v>801517</v>
      </c>
      <c r="E124" s="76" t="s">
        <v>205</v>
      </c>
      <c r="F124" s="76" t="s">
        <v>330</v>
      </c>
      <c r="G124" s="79">
        <v>133.93</v>
      </c>
      <c r="H124" s="76"/>
    </row>
    <row r="125" spans="1:12" x14ac:dyDescent="0.25">
      <c r="A125" s="94">
        <v>305</v>
      </c>
      <c r="B125" s="95">
        <v>4431</v>
      </c>
      <c r="C125" s="94">
        <v>905</v>
      </c>
      <c r="D125" s="76">
        <v>801603</v>
      </c>
      <c r="E125" s="76" t="s">
        <v>89</v>
      </c>
      <c r="F125" s="100" t="s">
        <v>331</v>
      </c>
      <c r="G125" s="103">
        <v>6000</v>
      </c>
      <c r="H125" s="76"/>
    </row>
    <row r="126" spans="1:12" x14ac:dyDescent="0.25">
      <c r="A126" s="94">
        <v>305</v>
      </c>
      <c r="B126" s="95">
        <v>4432</v>
      </c>
      <c r="C126" s="94">
        <v>905</v>
      </c>
      <c r="D126" s="76">
        <v>801604</v>
      </c>
      <c r="E126" s="76" t="s">
        <v>89</v>
      </c>
      <c r="F126" s="100" t="s">
        <v>146</v>
      </c>
      <c r="G126" s="103">
        <v>6000</v>
      </c>
      <c r="H126" s="76"/>
    </row>
    <row r="127" spans="1:12" x14ac:dyDescent="0.25">
      <c r="A127" s="94">
        <v>305</v>
      </c>
      <c r="B127" s="95">
        <v>4434</v>
      </c>
      <c r="C127" s="94">
        <v>605</v>
      </c>
      <c r="D127" s="76">
        <v>801502</v>
      </c>
      <c r="E127" s="76" t="s">
        <v>127</v>
      </c>
      <c r="F127" s="100" t="s">
        <v>332</v>
      </c>
      <c r="G127" s="103">
        <v>-16395.71</v>
      </c>
      <c r="H127" s="76" t="s">
        <v>333</v>
      </c>
    </row>
    <row r="128" spans="1:12" x14ac:dyDescent="0.25">
      <c r="A128" s="94">
        <v>305</v>
      </c>
      <c r="B128" s="95">
        <v>4435</v>
      </c>
      <c r="C128" s="94">
        <v>305</v>
      </c>
      <c r="D128" s="76">
        <v>801503</v>
      </c>
      <c r="E128" s="76" t="s">
        <v>127</v>
      </c>
      <c r="F128" s="100" t="s">
        <v>334</v>
      </c>
      <c r="G128" s="103">
        <v>16395.71</v>
      </c>
      <c r="H128" s="76"/>
    </row>
    <row r="129" spans="1:8" x14ac:dyDescent="0.25">
      <c r="A129" s="94">
        <v>605</v>
      </c>
      <c r="B129" s="95">
        <v>4503</v>
      </c>
      <c r="C129" s="94">
        <v>905</v>
      </c>
      <c r="D129" s="76">
        <v>801600</v>
      </c>
      <c r="E129" s="76" t="s">
        <v>8</v>
      </c>
      <c r="F129" s="76" t="s">
        <v>335</v>
      </c>
      <c r="G129" s="79">
        <v>1244.47</v>
      </c>
      <c r="H129" s="76"/>
    </row>
    <row r="130" spans="1:8" x14ac:dyDescent="0.25">
      <c r="A130" s="94">
        <v>605</v>
      </c>
      <c r="B130" s="95">
        <v>4505</v>
      </c>
      <c r="C130" s="94">
        <v>905</v>
      </c>
      <c r="D130" s="76">
        <v>801598</v>
      </c>
      <c r="E130" s="76" t="s">
        <v>8</v>
      </c>
      <c r="F130" s="76" t="s">
        <v>336</v>
      </c>
      <c r="G130" s="79">
        <v>163.91999999999996</v>
      </c>
      <c r="H130" s="76"/>
    </row>
    <row r="131" spans="1:8" x14ac:dyDescent="0.25">
      <c r="A131" s="94">
        <v>605</v>
      </c>
      <c r="B131" s="95">
        <v>4506</v>
      </c>
      <c r="C131" s="94">
        <v>905</v>
      </c>
      <c r="D131" s="76">
        <v>801595</v>
      </c>
      <c r="E131" s="76" t="s">
        <v>8</v>
      </c>
      <c r="F131" s="76" t="s">
        <v>335</v>
      </c>
      <c r="G131" s="79">
        <v>312</v>
      </c>
      <c r="H131" s="76"/>
    </row>
    <row r="132" spans="1:8" x14ac:dyDescent="0.25">
      <c r="A132" s="94">
        <v>605</v>
      </c>
      <c r="B132" s="95">
        <v>4508</v>
      </c>
      <c r="C132" s="94">
        <v>905</v>
      </c>
      <c r="D132" s="76">
        <v>801594</v>
      </c>
      <c r="E132" s="76" t="s">
        <v>8</v>
      </c>
      <c r="F132" s="76" t="s">
        <v>336</v>
      </c>
      <c r="G132" s="79">
        <v>144.19999999999996</v>
      </c>
      <c r="H132" s="76"/>
    </row>
    <row r="133" spans="1:8" x14ac:dyDescent="0.25">
      <c r="A133" s="94">
        <v>605</v>
      </c>
      <c r="B133" s="95">
        <v>4509</v>
      </c>
      <c r="C133" s="94">
        <v>905</v>
      </c>
      <c r="D133" s="76">
        <v>801593</v>
      </c>
      <c r="E133" s="76" t="s">
        <v>8</v>
      </c>
      <c r="F133" s="76" t="s">
        <v>337</v>
      </c>
      <c r="G133" s="79">
        <v>479.97</v>
      </c>
      <c r="H133" s="76"/>
    </row>
    <row r="134" spans="1:8" x14ac:dyDescent="0.25">
      <c r="A134" s="94">
        <v>605</v>
      </c>
      <c r="B134" s="95">
        <v>4510</v>
      </c>
      <c r="C134" s="94">
        <v>905</v>
      </c>
      <c r="D134" s="76">
        <v>801637</v>
      </c>
      <c r="E134" s="76" t="s">
        <v>8</v>
      </c>
      <c r="F134" s="76" t="s">
        <v>336</v>
      </c>
      <c r="G134" s="79">
        <v>1110</v>
      </c>
      <c r="H134" s="76"/>
    </row>
    <row r="135" spans="1:8" x14ac:dyDescent="0.25">
      <c r="A135" s="94">
        <v>605</v>
      </c>
      <c r="B135" s="95">
        <v>4511</v>
      </c>
      <c r="C135" s="94">
        <v>1005</v>
      </c>
      <c r="D135" s="76">
        <v>801638</v>
      </c>
      <c r="E135" s="76" t="s">
        <v>8</v>
      </c>
      <c r="F135" s="76" t="s">
        <v>338</v>
      </c>
      <c r="G135" s="79">
        <v>161</v>
      </c>
      <c r="H135" s="76"/>
    </row>
    <row r="136" spans="1:8" x14ac:dyDescent="0.25">
      <c r="A136" s="94">
        <v>605</v>
      </c>
      <c r="B136" s="95">
        <v>4512</v>
      </c>
      <c r="C136" s="94">
        <v>1005</v>
      </c>
      <c r="D136" s="76">
        <v>801644</v>
      </c>
      <c r="E136" s="76" t="s">
        <v>8</v>
      </c>
      <c r="F136" s="76" t="s">
        <v>336</v>
      </c>
      <c r="G136" s="79">
        <v>1431.38</v>
      </c>
      <c r="H136" s="76"/>
    </row>
    <row r="137" spans="1:8" x14ac:dyDescent="0.25">
      <c r="A137" s="94">
        <v>605</v>
      </c>
      <c r="B137" s="95">
        <v>4515</v>
      </c>
      <c r="C137" s="94">
        <v>1005</v>
      </c>
      <c r="D137" s="76">
        <v>801651</v>
      </c>
      <c r="E137" s="76" t="s">
        <v>8</v>
      </c>
      <c r="F137" s="76" t="s">
        <v>335</v>
      </c>
      <c r="G137" s="79">
        <v>100</v>
      </c>
      <c r="H137" s="76"/>
    </row>
    <row r="138" spans="1:8" x14ac:dyDescent="0.25">
      <c r="A138" s="94">
        <v>705</v>
      </c>
      <c r="B138" s="95">
        <v>4551</v>
      </c>
      <c r="C138" s="94">
        <v>905</v>
      </c>
      <c r="D138" s="76">
        <v>801568</v>
      </c>
      <c r="E138" s="76" t="s">
        <v>205</v>
      </c>
      <c r="F138" s="76" t="s">
        <v>330</v>
      </c>
      <c r="G138" s="79">
        <v>25.05</v>
      </c>
      <c r="H138" s="76"/>
    </row>
    <row r="139" spans="1:8" x14ac:dyDescent="0.25">
      <c r="A139" s="94">
        <v>905</v>
      </c>
      <c r="B139" s="95">
        <v>4689</v>
      </c>
      <c r="C139" s="94">
        <v>1005</v>
      </c>
      <c r="D139" s="76">
        <v>801683</v>
      </c>
      <c r="E139" s="76" t="s">
        <v>8</v>
      </c>
      <c r="F139" s="76" t="s">
        <v>339</v>
      </c>
      <c r="G139" s="79">
        <v>1532.14</v>
      </c>
      <c r="H139" s="76"/>
    </row>
    <row r="140" spans="1:8" x14ac:dyDescent="0.25">
      <c r="A140" s="94">
        <v>905</v>
      </c>
      <c r="B140" s="95">
        <v>4691</v>
      </c>
      <c r="C140" s="94">
        <v>1005</v>
      </c>
      <c r="D140" s="76">
        <v>801639</v>
      </c>
      <c r="E140" s="76" t="s">
        <v>8</v>
      </c>
      <c r="F140" s="76" t="s">
        <v>339</v>
      </c>
      <c r="G140" s="79">
        <v>806.1</v>
      </c>
      <c r="H140" s="76"/>
    </row>
    <row r="141" spans="1:8" x14ac:dyDescent="0.25">
      <c r="A141" s="94">
        <v>905</v>
      </c>
      <c r="B141" s="95">
        <v>4746</v>
      </c>
      <c r="C141" s="94">
        <v>1005</v>
      </c>
      <c r="D141" s="76">
        <v>801668</v>
      </c>
      <c r="E141" s="76" t="s">
        <v>89</v>
      </c>
      <c r="F141" s="76" t="s">
        <v>340</v>
      </c>
      <c r="G141" s="79">
        <v>654.02</v>
      </c>
      <c r="H141" s="76"/>
    </row>
    <row r="142" spans="1:8" x14ac:dyDescent="0.25">
      <c r="A142" s="94">
        <v>1005</v>
      </c>
      <c r="B142" s="95">
        <v>4754</v>
      </c>
      <c r="C142" s="94">
        <v>1005</v>
      </c>
      <c r="D142" s="76">
        <v>801664</v>
      </c>
      <c r="E142" s="76" t="s">
        <v>89</v>
      </c>
      <c r="F142" s="76" t="s">
        <v>341</v>
      </c>
      <c r="G142" s="79">
        <v>700</v>
      </c>
      <c r="H142" s="76"/>
    </row>
    <row r="143" spans="1:8" x14ac:dyDescent="0.25">
      <c r="A143" s="94">
        <v>1005</v>
      </c>
      <c r="B143" s="95">
        <v>4650</v>
      </c>
      <c r="C143" s="94">
        <v>1305</v>
      </c>
      <c r="D143" s="76">
        <v>400737</v>
      </c>
      <c r="E143" s="76" t="s">
        <v>38</v>
      </c>
      <c r="F143" s="76" t="s">
        <v>342</v>
      </c>
      <c r="G143" s="79">
        <v>440</v>
      </c>
      <c r="H143" s="76"/>
    </row>
    <row r="144" spans="1:8" x14ac:dyDescent="0.25">
      <c r="A144" s="94">
        <v>705</v>
      </c>
      <c r="B144" s="95">
        <v>4581</v>
      </c>
      <c r="C144" s="94">
        <v>905</v>
      </c>
      <c r="D144" s="76">
        <v>801572</v>
      </c>
      <c r="E144" s="76" t="s">
        <v>12</v>
      </c>
      <c r="F144" s="76" t="s">
        <v>343</v>
      </c>
      <c r="G144" s="79">
        <v>-276.8</v>
      </c>
      <c r="H144" s="76"/>
    </row>
    <row r="145" spans="1:8" x14ac:dyDescent="0.25">
      <c r="A145" s="94">
        <v>705</v>
      </c>
      <c r="B145" s="95">
        <v>4582</v>
      </c>
      <c r="C145" s="94">
        <v>905</v>
      </c>
      <c r="D145" s="76">
        <v>801574</v>
      </c>
      <c r="E145" s="76" t="s">
        <v>12</v>
      </c>
      <c r="F145" s="76" t="s">
        <v>343</v>
      </c>
      <c r="G145" s="79">
        <v>-1000</v>
      </c>
      <c r="H145" s="76"/>
    </row>
    <row r="146" spans="1:8" x14ac:dyDescent="0.25">
      <c r="A146" s="94">
        <v>805</v>
      </c>
      <c r="B146" s="95">
        <v>4616</v>
      </c>
      <c r="C146" s="94">
        <v>905</v>
      </c>
      <c r="D146" s="76">
        <v>801626</v>
      </c>
      <c r="E146" s="76" t="s">
        <v>12</v>
      </c>
      <c r="F146" s="76" t="s">
        <v>344</v>
      </c>
      <c r="G146" s="79">
        <v>-0.59</v>
      </c>
      <c r="H146" s="76"/>
    </row>
    <row r="147" spans="1:8" x14ac:dyDescent="0.25">
      <c r="A147" s="94">
        <v>805</v>
      </c>
      <c r="B147" s="95">
        <v>4618</v>
      </c>
      <c r="C147" s="94">
        <v>905</v>
      </c>
      <c r="D147" s="76">
        <v>801625</v>
      </c>
      <c r="E147" s="76" t="s">
        <v>12</v>
      </c>
      <c r="F147" s="76" t="s">
        <v>344</v>
      </c>
      <c r="G147" s="79">
        <v>-950</v>
      </c>
      <c r="H147" s="76"/>
    </row>
    <row r="148" spans="1:8" x14ac:dyDescent="0.25">
      <c r="A148" s="94">
        <v>1305</v>
      </c>
      <c r="B148" s="95">
        <v>4872</v>
      </c>
      <c r="C148" s="94">
        <v>1405</v>
      </c>
      <c r="D148" s="76">
        <v>801712</v>
      </c>
      <c r="E148" s="76" t="s">
        <v>205</v>
      </c>
      <c r="F148" s="10" t="s">
        <v>345</v>
      </c>
      <c r="G148" s="77">
        <v>45.72</v>
      </c>
      <c r="H148" s="76"/>
    </row>
    <row r="149" spans="1:8" x14ac:dyDescent="0.25">
      <c r="A149" s="94">
        <v>1405</v>
      </c>
      <c r="B149" s="95">
        <v>4868</v>
      </c>
      <c r="C149" s="94">
        <v>1405</v>
      </c>
      <c r="D149" s="76">
        <v>801715</v>
      </c>
      <c r="E149" s="76" t="s">
        <v>89</v>
      </c>
      <c r="F149" s="76" t="s">
        <v>346</v>
      </c>
      <c r="G149" s="79">
        <v>1493.32</v>
      </c>
      <c r="H149" s="76"/>
    </row>
    <row r="150" spans="1:8" x14ac:dyDescent="0.25">
      <c r="A150" s="94">
        <v>1405</v>
      </c>
      <c r="B150" s="95">
        <v>4869</v>
      </c>
      <c r="C150" s="94">
        <v>1405</v>
      </c>
      <c r="D150" s="76">
        <v>801714</v>
      </c>
      <c r="E150" s="76" t="s">
        <v>89</v>
      </c>
      <c r="F150" s="76" t="s">
        <v>346</v>
      </c>
      <c r="G150" s="79">
        <v>155.72</v>
      </c>
      <c r="H150" s="76"/>
    </row>
    <row r="151" spans="1:8" x14ac:dyDescent="0.25">
      <c r="A151" s="94">
        <v>1405</v>
      </c>
      <c r="B151" s="95">
        <v>4612</v>
      </c>
      <c r="C151" s="94">
        <v>2005</v>
      </c>
      <c r="D151" s="76">
        <v>400772</v>
      </c>
      <c r="E151" s="76" t="s">
        <v>311</v>
      </c>
      <c r="F151" s="76" t="s">
        <v>347</v>
      </c>
      <c r="G151" s="79">
        <v>1039.25</v>
      </c>
      <c r="H151" s="76"/>
    </row>
    <row r="152" spans="1:8" x14ac:dyDescent="0.25">
      <c r="A152" s="94">
        <v>1605</v>
      </c>
      <c r="B152" s="95">
        <v>5063</v>
      </c>
      <c r="C152" s="94">
        <v>2005</v>
      </c>
      <c r="D152" s="76">
        <v>801750</v>
      </c>
      <c r="E152" s="76" t="s">
        <v>348</v>
      </c>
      <c r="F152" s="7" t="s">
        <v>349</v>
      </c>
      <c r="G152" s="24">
        <v>20</v>
      </c>
      <c r="H152" s="76"/>
    </row>
    <row r="153" spans="1:8" x14ac:dyDescent="0.25">
      <c r="A153" s="94">
        <v>2005</v>
      </c>
      <c r="B153" s="95">
        <v>5080</v>
      </c>
      <c r="C153" s="94">
        <v>2205</v>
      </c>
      <c r="D153" s="76">
        <v>801779</v>
      </c>
      <c r="E153" s="76" t="s">
        <v>89</v>
      </c>
      <c r="F153" s="76" t="s">
        <v>350</v>
      </c>
      <c r="G153" s="79">
        <v>380</v>
      </c>
      <c r="H153" s="76"/>
    </row>
    <row r="154" spans="1:8" x14ac:dyDescent="0.25">
      <c r="A154" s="94">
        <v>2005</v>
      </c>
      <c r="B154" s="95">
        <v>5081</v>
      </c>
      <c r="C154" s="94">
        <v>2205</v>
      </c>
      <c r="D154" s="76">
        <v>801780</v>
      </c>
      <c r="E154" s="76" t="s">
        <v>89</v>
      </c>
      <c r="F154" s="76" t="s">
        <v>351</v>
      </c>
      <c r="G154" s="79">
        <v>690</v>
      </c>
      <c r="H154" s="76"/>
    </row>
    <row r="155" spans="1:8" x14ac:dyDescent="0.25">
      <c r="A155" s="94">
        <v>2305</v>
      </c>
      <c r="B155" s="95">
        <v>5209</v>
      </c>
      <c r="C155" s="94">
        <v>2705</v>
      </c>
      <c r="D155" s="76">
        <v>801829</v>
      </c>
      <c r="E155" s="76" t="s">
        <v>89</v>
      </c>
      <c r="F155" s="76" t="s">
        <v>352</v>
      </c>
      <c r="G155" s="79">
        <v>122.5</v>
      </c>
      <c r="H155" s="76"/>
    </row>
    <row r="156" spans="1:8" x14ac:dyDescent="0.25">
      <c r="A156" s="94">
        <v>2305</v>
      </c>
      <c r="B156" s="95">
        <v>5237</v>
      </c>
      <c r="C156" s="94">
        <v>2305</v>
      </c>
      <c r="D156" s="76">
        <v>400728</v>
      </c>
      <c r="E156" s="76" t="s">
        <v>127</v>
      </c>
      <c r="F156" s="76" t="s">
        <v>353</v>
      </c>
      <c r="G156" s="79">
        <v>13750</v>
      </c>
      <c r="H156" s="76"/>
    </row>
    <row r="157" spans="1:8" x14ac:dyDescent="0.25">
      <c r="A157" s="94">
        <v>2305</v>
      </c>
      <c r="B157" s="95">
        <v>5253</v>
      </c>
      <c r="C157" s="94">
        <v>2705</v>
      </c>
      <c r="D157" s="76">
        <v>801818</v>
      </c>
      <c r="E157" s="76" t="s">
        <v>354</v>
      </c>
      <c r="F157" s="76" t="s">
        <v>355</v>
      </c>
      <c r="G157" s="79">
        <v>645</v>
      </c>
      <c r="H157" s="76"/>
    </row>
    <row r="158" spans="1:8" x14ac:dyDescent="0.25">
      <c r="A158" s="94">
        <v>2405</v>
      </c>
      <c r="B158" s="95">
        <v>5269</v>
      </c>
      <c r="C158" s="94">
        <v>3105</v>
      </c>
      <c r="D158" s="76">
        <v>400912</v>
      </c>
      <c r="E158" s="76" t="s">
        <v>38</v>
      </c>
      <c r="F158" s="76" t="s">
        <v>356</v>
      </c>
      <c r="G158" s="79">
        <v>233.7</v>
      </c>
      <c r="H158" s="76"/>
    </row>
    <row r="159" spans="1:8" x14ac:dyDescent="0.25">
      <c r="A159" s="94">
        <v>2405</v>
      </c>
      <c r="B159" s="95">
        <v>5289</v>
      </c>
      <c r="C159" s="94">
        <v>3105</v>
      </c>
      <c r="D159" s="76">
        <v>400902</v>
      </c>
      <c r="E159" s="76" t="s">
        <v>269</v>
      </c>
      <c r="F159" s="76" t="s">
        <v>357</v>
      </c>
      <c r="G159" s="79">
        <v>400</v>
      </c>
      <c r="H159" s="76"/>
    </row>
    <row r="160" spans="1:8" x14ac:dyDescent="0.25">
      <c r="A160" s="94">
        <v>2405</v>
      </c>
      <c r="B160" s="95">
        <v>5290</v>
      </c>
      <c r="C160" s="94">
        <v>3105</v>
      </c>
      <c r="D160" s="76">
        <v>400901</v>
      </c>
      <c r="E160" s="76" t="s">
        <v>269</v>
      </c>
      <c r="F160" s="76" t="s">
        <v>358</v>
      </c>
      <c r="G160" s="79">
        <v>400</v>
      </c>
      <c r="H160" s="76"/>
    </row>
    <row r="161" spans="1:8" x14ac:dyDescent="0.25">
      <c r="A161" s="94">
        <v>2705</v>
      </c>
      <c r="B161" s="95">
        <v>5349</v>
      </c>
      <c r="C161" s="94">
        <v>2705</v>
      </c>
      <c r="D161" s="76">
        <v>801862</v>
      </c>
      <c r="E161" s="76" t="s">
        <v>101</v>
      </c>
      <c r="F161" s="76" t="s">
        <v>359</v>
      </c>
      <c r="G161" s="79">
        <f>12.5*11</f>
        <v>137.5</v>
      </c>
      <c r="H161" s="76"/>
    </row>
    <row r="162" spans="1:8" x14ac:dyDescent="0.25">
      <c r="A162" s="94">
        <v>2805</v>
      </c>
      <c r="B162" s="95">
        <v>5454</v>
      </c>
      <c r="C162" s="94">
        <v>2905</v>
      </c>
      <c r="D162" s="76">
        <v>801912</v>
      </c>
      <c r="E162" s="76" t="s">
        <v>254</v>
      </c>
      <c r="F162" s="76" t="s">
        <v>360</v>
      </c>
      <c r="G162" s="79">
        <f>2*12.5</f>
        <v>25</v>
      </c>
      <c r="H162" s="76"/>
    </row>
    <row r="163" spans="1:8" x14ac:dyDescent="0.25">
      <c r="A163" s="94">
        <v>3105</v>
      </c>
      <c r="B163" s="95">
        <v>5658</v>
      </c>
      <c r="C163" s="94">
        <v>306</v>
      </c>
      <c r="D163" s="76">
        <v>801967</v>
      </c>
      <c r="E163" s="76" t="s">
        <v>311</v>
      </c>
      <c r="F163" s="76" t="s">
        <v>361</v>
      </c>
      <c r="G163" s="79">
        <v>358</v>
      </c>
      <c r="H163" s="76"/>
    </row>
    <row r="164" spans="1:8" x14ac:dyDescent="0.25">
      <c r="A164" s="94">
        <v>3105</v>
      </c>
      <c r="B164" s="95">
        <v>5659</v>
      </c>
      <c r="C164" s="94">
        <v>306</v>
      </c>
      <c r="D164" s="76">
        <v>801966</v>
      </c>
      <c r="E164" s="76" t="s">
        <v>354</v>
      </c>
      <c r="F164" s="76" t="s">
        <v>362</v>
      </c>
      <c r="G164" s="79">
        <f>10*4500</f>
        <v>45000</v>
      </c>
      <c r="H164" s="76"/>
    </row>
    <row r="165" spans="1:8" x14ac:dyDescent="0.25">
      <c r="A165" s="94">
        <v>3105</v>
      </c>
      <c r="B165" s="95">
        <v>5660</v>
      </c>
      <c r="C165" s="94">
        <v>306</v>
      </c>
      <c r="D165" s="76">
        <v>801965</v>
      </c>
      <c r="E165" s="76" t="s">
        <v>127</v>
      </c>
      <c r="F165" s="76" t="s">
        <v>363</v>
      </c>
      <c r="G165" s="79">
        <v>4500</v>
      </c>
      <c r="H165" s="76"/>
    </row>
    <row r="166" spans="1:8" x14ac:dyDescent="0.25">
      <c r="A166" s="94">
        <v>3105</v>
      </c>
      <c r="B166" s="95">
        <v>5661</v>
      </c>
      <c r="C166" s="94">
        <v>306</v>
      </c>
      <c r="D166" s="76">
        <v>801960</v>
      </c>
      <c r="E166" s="76" t="s">
        <v>269</v>
      </c>
      <c r="F166" s="76" t="s">
        <v>364</v>
      </c>
      <c r="G166" s="79">
        <v>4500</v>
      </c>
      <c r="H166" s="76"/>
    </row>
    <row r="167" spans="1:8" x14ac:dyDescent="0.25">
      <c r="A167" s="94">
        <v>3105</v>
      </c>
      <c r="B167" s="95">
        <v>5662</v>
      </c>
      <c r="C167" s="94">
        <v>306</v>
      </c>
      <c r="D167" s="76">
        <v>801959</v>
      </c>
      <c r="E167" s="76" t="s">
        <v>89</v>
      </c>
      <c r="F167" s="76" t="s">
        <v>365</v>
      </c>
      <c r="G167" s="79">
        <f>2*4500</f>
        <v>9000</v>
      </c>
      <c r="H167" s="76"/>
    </row>
    <row r="168" spans="1:8" x14ac:dyDescent="0.25">
      <c r="A168" s="94">
        <v>306</v>
      </c>
      <c r="B168" s="95">
        <v>5591</v>
      </c>
      <c r="C168" s="94">
        <v>706</v>
      </c>
      <c r="D168" s="76">
        <v>400951</v>
      </c>
      <c r="E168" s="76" t="s">
        <v>286</v>
      </c>
      <c r="F168" s="76" t="s">
        <v>366</v>
      </c>
      <c r="G168" s="79">
        <v>300</v>
      </c>
      <c r="H168" s="76"/>
    </row>
    <row r="169" spans="1:8" x14ac:dyDescent="0.25">
      <c r="A169" s="94">
        <v>306</v>
      </c>
      <c r="B169" s="95">
        <v>5681</v>
      </c>
      <c r="C169" s="94">
        <v>1206</v>
      </c>
      <c r="D169" s="76">
        <v>802085</v>
      </c>
      <c r="E169" s="76" t="s">
        <v>14</v>
      </c>
      <c r="F169" s="76" t="s">
        <v>367</v>
      </c>
      <c r="G169" s="79">
        <v>217</v>
      </c>
      <c r="H169" s="76"/>
    </row>
    <row r="170" spans="1:8" x14ac:dyDescent="0.25">
      <c r="A170" s="94">
        <v>306</v>
      </c>
      <c r="B170" s="95">
        <v>5696</v>
      </c>
      <c r="C170" s="94">
        <v>1206</v>
      </c>
      <c r="D170" s="76">
        <v>802089</v>
      </c>
      <c r="E170" s="76" t="s">
        <v>89</v>
      </c>
      <c r="F170" s="76" t="s">
        <v>368</v>
      </c>
      <c r="G170" s="79">
        <v>1025</v>
      </c>
      <c r="H170" s="76"/>
    </row>
    <row r="171" spans="1:8" x14ac:dyDescent="0.25">
      <c r="A171" s="94">
        <v>306</v>
      </c>
      <c r="B171" s="95">
        <v>5710</v>
      </c>
      <c r="C171" s="94">
        <v>706</v>
      </c>
      <c r="D171" s="76">
        <v>802023</v>
      </c>
      <c r="E171" s="76" t="s">
        <v>14</v>
      </c>
      <c r="F171" s="76" t="s">
        <v>369</v>
      </c>
      <c r="G171" s="79">
        <v>218</v>
      </c>
      <c r="H171" s="76"/>
    </row>
    <row r="172" spans="1:8" x14ac:dyDescent="0.25">
      <c r="A172" s="94">
        <v>506</v>
      </c>
      <c r="B172" s="95">
        <v>5748</v>
      </c>
      <c r="C172" s="94">
        <v>1206</v>
      </c>
      <c r="D172" s="76">
        <v>802077</v>
      </c>
      <c r="E172" s="76" t="s">
        <v>89</v>
      </c>
      <c r="F172" s="76" t="s">
        <v>370</v>
      </c>
      <c r="G172" s="79">
        <f>(4*280)</f>
        <v>1120</v>
      </c>
      <c r="H172" s="76"/>
    </row>
    <row r="173" spans="1:8" x14ac:dyDescent="0.25">
      <c r="A173" s="94">
        <v>406</v>
      </c>
      <c r="B173" s="95">
        <v>5759</v>
      </c>
      <c r="C173" s="94">
        <v>1206</v>
      </c>
      <c r="D173" s="76">
        <v>802078</v>
      </c>
      <c r="E173" s="76" t="s">
        <v>8</v>
      </c>
      <c r="F173" s="76" t="s">
        <v>371</v>
      </c>
      <c r="G173" s="79">
        <v>1676</v>
      </c>
      <c r="H173" s="76"/>
    </row>
    <row r="174" spans="1:8" x14ac:dyDescent="0.25">
      <c r="A174" s="94">
        <v>406</v>
      </c>
      <c r="B174" s="95">
        <v>5760</v>
      </c>
      <c r="C174" s="94">
        <v>1206</v>
      </c>
      <c r="D174" s="76">
        <v>802084</v>
      </c>
      <c r="E174" s="76" t="s">
        <v>8</v>
      </c>
      <c r="F174" s="76" t="s">
        <v>372</v>
      </c>
      <c r="G174" s="79">
        <v>1336.22</v>
      </c>
      <c r="H174" s="76"/>
    </row>
    <row r="175" spans="1:8" x14ac:dyDescent="0.25">
      <c r="A175" s="94">
        <v>406</v>
      </c>
      <c r="B175" s="95">
        <v>5763</v>
      </c>
      <c r="C175" s="94">
        <v>1306</v>
      </c>
      <c r="D175" s="76">
        <v>802146</v>
      </c>
      <c r="E175" s="76" t="s">
        <v>8</v>
      </c>
      <c r="F175" s="76" t="s">
        <v>373</v>
      </c>
      <c r="G175" s="79">
        <v>2300</v>
      </c>
      <c r="H175" s="76"/>
    </row>
    <row r="176" spans="1:8" x14ac:dyDescent="0.25">
      <c r="A176" s="94">
        <v>406</v>
      </c>
      <c r="B176" s="95">
        <v>5764</v>
      </c>
      <c r="C176" s="94">
        <v>1306</v>
      </c>
      <c r="D176" s="76">
        <v>802145</v>
      </c>
      <c r="E176" s="76" t="s">
        <v>8</v>
      </c>
      <c r="F176" s="76" t="s">
        <v>374</v>
      </c>
      <c r="G176" s="79">
        <v>1764.36</v>
      </c>
      <c r="H176" s="76"/>
    </row>
    <row r="177" spans="1:8" x14ac:dyDescent="0.25">
      <c r="A177" s="94">
        <v>506</v>
      </c>
      <c r="B177" s="95">
        <v>5802</v>
      </c>
      <c r="C177" s="94">
        <v>1306</v>
      </c>
      <c r="D177" s="76">
        <v>802144</v>
      </c>
      <c r="E177" s="76" t="s">
        <v>254</v>
      </c>
      <c r="F177" s="76" t="s">
        <v>375</v>
      </c>
      <c r="G177" s="79">
        <v>3029.99</v>
      </c>
      <c r="H177" s="76"/>
    </row>
    <row r="178" spans="1:8" x14ac:dyDescent="0.25">
      <c r="A178" s="94">
        <v>606</v>
      </c>
      <c r="B178" s="95">
        <v>5875</v>
      </c>
      <c r="C178" s="94">
        <v>1306</v>
      </c>
      <c r="D178" s="76">
        <v>802143</v>
      </c>
      <c r="E178" s="76" t="s">
        <v>38</v>
      </c>
      <c r="F178" s="76" t="s">
        <v>376</v>
      </c>
      <c r="G178" s="79">
        <v>9000</v>
      </c>
      <c r="H178" s="76"/>
    </row>
    <row r="179" spans="1:8" x14ac:dyDescent="0.25">
      <c r="A179" s="94">
        <v>606</v>
      </c>
      <c r="B179" s="95">
        <v>5876</v>
      </c>
      <c r="C179" s="94">
        <v>1306</v>
      </c>
      <c r="D179" s="76">
        <v>802142</v>
      </c>
      <c r="E179" s="76" t="s">
        <v>38</v>
      </c>
      <c r="F179" s="76" t="s">
        <v>377</v>
      </c>
      <c r="G179" s="79">
        <v>5000</v>
      </c>
      <c r="H179" s="76"/>
    </row>
    <row r="180" spans="1:8" x14ac:dyDescent="0.25">
      <c r="A180" s="94">
        <v>606</v>
      </c>
      <c r="B180" s="95">
        <v>5879</v>
      </c>
      <c r="C180" s="94">
        <v>1306</v>
      </c>
      <c r="D180" s="76">
        <v>802131</v>
      </c>
      <c r="E180" s="76" t="s">
        <v>38</v>
      </c>
      <c r="F180" s="76" t="s">
        <v>378</v>
      </c>
      <c r="G180" s="79">
        <v>2000</v>
      </c>
      <c r="H180" s="76"/>
    </row>
    <row r="181" spans="1:8" x14ac:dyDescent="0.25">
      <c r="A181" s="94">
        <v>606</v>
      </c>
      <c r="B181" s="95">
        <v>5881</v>
      </c>
      <c r="C181" s="94">
        <v>1306</v>
      </c>
      <c r="D181" s="76">
        <v>802132</v>
      </c>
      <c r="E181" s="76" t="s">
        <v>38</v>
      </c>
      <c r="F181" s="76" t="s">
        <v>379</v>
      </c>
      <c r="G181" s="79">
        <v>4488</v>
      </c>
      <c r="H181" s="76"/>
    </row>
    <row r="182" spans="1:8" x14ac:dyDescent="0.25">
      <c r="A182" s="94">
        <v>606</v>
      </c>
      <c r="B182" s="95">
        <v>5882</v>
      </c>
      <c r="C182" s="94">
        <v>1306</v>
      </c>
      <c r="D182" s="76">
        <v>802135</v>
      </c>
      <c r="E182" s="76" t="s">
        <v>38</v>
      </c>
      <c r="F182" s="76" t="s">
        <v>380</v>
      </c>
      <c r="G182" s="79">
        <v>1555.54</v>
      </c>
      <c r="H182" s="76"/>
    </row>
    <row r="183" spans="1:8" x14ac:dyDescent="0.25">
      <c r="A183" s="94">
        <v>606</v>
      </c>
      <c r="B183" s="95">
        <v>5883</v>
      </c>
      <c r="C183" s="94">
        <v>1306</v>
      </c>
      <c r="D183" s="76">
        <v>802141</v>
      </c>
      <c r="E183" s="76" t="s">
        <v>38</v>
      </c>
      <c r="F183" s="76" t="s">
        <v>381</v>
      </c>
      <c r="G183" s="79">
        <v>600</v>
      </c>
      <c r="H183" s="76"/>
    </row>
    <row r="184" spans="1:8" x14ac:dyDescent="0.25">
      <c r="A184" s="94">
        <v>606</v>
      </c>
      <c r="B184" s="95">
        <v>5916</v>
      </c>
      <c r="C184" s="94">
        <v>1406</v>
      </c>
      <c r="D184" s="76">
        <v>802180</v>
      </c>
      <c r="E184" s="76" t="s">
        <v>8</v>
      </c>
      <c r="F184" s="76" t="s">
        <v>382</v>
      </c>
      <c r="G184" s="79">
        <v>1072</v>
      </c>
      <c r="H184" s="76"/>
    </row>
    <row r="185" spans="1:8" x14ac:dyDescent="0.25">
      <c r="A185" s="94">
        <v>606</v>
      </c>
      <c r="B185" s="95">
        <v>5766</v>
      </c>
      <c r="C185" s="94">
        <v>1206</v>
      </c>
      <c r="D185" s="76">
        <v>802076</v>
      </c>
      <c r="E185" s="76" t="s">
        <v>8</v>
      </c>
      <c r="F185" s="76" t="s">
        <v>383</v>
      </c>
      <c r="G185" s="79">
        <v>1958</v>
      </c>
      <c r="H185" s="76"/>
    </row>
    <row r="186" spans="1:8" x14ac:dyDescent="0.25">
      <c r="A186" s="94">
        <v>606</v>
      </c>
      <c r="B186" s="95">
        <v>5944</v>
      </c>
      <c r="C186" s="94">
        <v>1406</v>
      </c>
      <c r="D186" s="76">
        <v>802178</v>
      </c>
      <c r="E186" s="76" t="s">
        <v>205</v>
      </c>
      <c r="F186" s="76" t="s">
        <v>384</v>
      </c>
      <c r="G186" s="79">
        <v>3699.67</v>
      </c>
      <c r="H186" s="76"/>
    </row>
    <row r="187" spans="1:8" x14ac:dyDescent="0.25">
      <c r="A187" s="94">
        <v>606</v>
      </c>
      <c r="B187" s="95">
        <v>5949</v>
      </c>
      <c r="C187" s="94">
        <v>706</v>
      </c>
      <c r="D187" s="76">
        <v>802029</v>
      </c>
      <c r="E187" s="76" t="s">
        <v>101</v>
      </c>
      <c r="F187" s="76" t="s">
        <v>385</v>
      </c>
      <c r="G187" s="79">
        <v>-137.5</v>
      </c>
      <c r="H187" s="76"/>
    </row>
    <row r="188" spans="1:8" x14ac:dyDescent="0.25">
      <c r="A188" s="94">
        <v>606</v>
      </c>
      <c r="B188" s="95">
        <v>5955</v>
      </c>
      <c r="C188" s="94">
        <v>1406</v>
      </c>
      <c r="D188" s="76">
        <v>802194</v>
      </c>
      <c r="E188" s="76" t="s">
        <v>101</v>
      </c>
      <c r="F188" s="76" t="s">
        <v>386</v>
      </c>
      <c r="G188" s="79">
        <v>50</v>
      </c>
      <c r="H188" s="76"/>
    </row>
    <row r="189" spans="1:8" x14ac:dyDescent="0.25">
      <c r="A189" s="94">
        <v>606</v>
      </c>
      <c r="B189" s="95">
        <v>5951</v>
      </c>
      <c r="C189" s="94">
        <v>1406</v>
      </c>
      <c r="D189" s="76">
        <v>802179</v>
      </c>
      <c r="E189" s="76" t="s">
        <v>205</v>
      </c>
      <c r="F189" s="76" t="s">
        <v>387</v>
      </c>
      <c r="G189" s="79">
        <v>3880</v>
      </c>
      <c r="H189" s="76"/>
    </row>
    <row r="190" spans="1:8" x14ac:dyDescent="0.25">
      <c r="A190" s="94">
        <v>606</v>
      </c>
      <c r="B190" s="95">
        <v>5960</v>
      </c>
      <c r="C190" s="94">
        <v>1406</v>
      </c>
      <c r="D190" s="76">
        <v>802181</v>
      </c>
      <c r="E190" s="76" t="s">
        <v>101</v>
      </c>
      <c r="F190" s="76" t="s">
        <v>388</v>
      </c>
      <c r="G190" s="79">
        <f>2*240</f>
        <v>480</v>
      </c>
      <c r="H190" s="76"/>
    </row>
    <row r="191" spans="1:8" x14ac:dyDescent="0.25">
      <c r="A191" s="94">
        <v>606</v>
      </c>
      <c r="B191" s="95">
        <v>5961</v>
      </c>
      <c r="C191" s="94">
        <v>1406</v>
      </c>
      <c r="D191" s="76">
        <v>802182</v>
      </c>
      <c r="E191" s="76" t="s">
        <v>12</v>
      </c>
      <c r="F191" s="76" t="s">
        <v>389</v>
      </c>
      <c r="G191" s="79">
        <f>2*2462</f>
        <v>4924</v>
      </c>
      <c r="H191" s="76"/>
    </row>
    <row r="192" spans="1:8" x14ac:dyDescent="0.25">
      <c r="A192" s="94">
        <v>606</v>
      </c>
      <c r="B192" s="95">
        <v>5962</v>
      </c>
      <c r="C192" s="94">
        <v>1406</v>
      </c>
      <c r="D192" s="76">
        <v>802183</v>
      </c>
      <c r="E192" s="76" t="s">
        <v>89</v>
      </c>
      <c r="F192" s="76" t="s">
        <v>390</v>
      </c>
      <c r="G192" s="79">
        <v>1740</v>
      </c>
      <c r="H192" s="76"/>
    </row>
    <row r="193" spans="1:8" x14ac:dyDescent="0.25">
      <c r="A193" s="94">
        <v>706</v>
      </c>
      <c r="B193" s="95">
        <v>5964</v>
      </c>
      <c r="C193" s="94">
        <v>1406</v>
      </c>
      <c r="D193" s="76">
        <v>802184</v>
      </c>
      <c r="E193" s="76" t="s">
        <v>38</v>
      </c>
      <c r="F193" s="76" t="s">
        <v>391</v>
      </c>
      <c r="G193" s="79">
        <v>740.2</v>
      </c>
      <c r="H193" s="76"/>
    </row>
    <row r="194" spans="1:8" x14ac:dyDescent="0.25">
      <c r="A194" s="94">
        <v>706</v>
      </c>
      <c r="B194" s="95">
        <v>5965</v>
      </c>
      <c r="C194" s="94">
        <v>1406</v>
      </c>
      <c r="D194" s="76">
        <v>802185</v>
      </c>
      <c r="E194" s="76" t="s">
        <v>38</v>
      </c>
      <c r="F194" s="76" t="s">
        <v>392</v>
      </c>
      <c r="G194" s="79">
        <v>485</v>
      </c>
      <c r="H194" s="76"/>
    </row>
    <row r="195" spans="1:8" x14ac:dyDescent="0.25">
      <c r="A195" s="94">
        <v>706</v>
      </c>
      <c r="B195" s="95">
        <v>6019</v>
      </c>
      <c r="C195" s="94">
        <v>1706</v>
      </c>
      <c r="D195" s="76">
        <v>802212</v>
      </c>
      <c r="E195" s="76" t="s">
        <v>393</v>
      </c>
      <c r="F195" s="76" t="s">
        <v>394</v>
      </c>
      <c r="G195" s="79">
        <v>979</v>
      </c>
      <c r="H195" s="76"/>
    </row>
    <row r="196" spans="1:8" x14ac:dyDescent="0.25">
      <c r="A196" s="94">
        <v>706</v>
      </c>
      <c r="B196" s="95">
        <v>6025</v>
      </c>
      <c r="C196" s="94">
        <v>1706</v>
      </c>
      <c r="D196" s="76">
        <v>802211</v>
      </c>
      <c r="E196" s="76" t="s">
        <v>222</v>
      </c>
      <c r="F196" s="76" t="s">
        <v>395</v>
      </c>
      <c r="G196" s="79">
        <v>2710</v>
      </c>
      <c r="H196" s="76"/>
    </row>
    <row r="197" spans="1:8" x14ac:dyDescent="0.25">
      <c r="A197" s="94">
        <v>1006</v>
      </c>
      <c r="B197" s="95">
        <v>6035</v>
      </c>
      <c r="C197" s="94">
        <v>1706</v>
      </c>
      <c r="D197" s="76">
        <v>802210</v>
      </c>
      <c r="E197" s="76" t="s">
        <v>38</v>
      </c>
      <c r="F197" s="76" t="s">
        <v>396</v>
      </c>
      <c r="G197" s="79">
        <v>1120</v>
      </c>
      <c r="H197" s="76"/>
    </row>
    <row r="198" spans="1:8" x14ac:dyDescent="0.25">
      <c r="A198" s="94">
        <v>1006</v>
      </c>
      <c r="B198" s="95">
        <v>6039</v>
      </c>
      <c r="C198" s="94">
        <v>1706</v>
      </c>
      <c r="D198" s="76">
        <v>802209</v>
      </c>
      <c r="E198" s="76" t="s">
        <v>38</v>
      </c>
      <c r="F198" s="76" t="s">
        <v>397</v>
      </c>
      <c r="G198" s="79">
        <v>1045</v>
      </c>
      <c r="H198" s="76"/>
    </row>
    <row r="199" spans="1:8" x14ac:dyDescent="0.25">
      <c r="A199" s="94">
        <v>1006</v>
      </c>
      <c r="B199" s="95">
        <v>6043</v>
      </c>
      <c r="C199" s="94">
        <v>1706</v>
      </c>
      <c r="D199" s="76">
        <v>802208</v>
      </c>
      <c r="E199" s="76" t="s">
        <v>38</v>
      </c>
      <c r="F199" s="76" t="s">
        <v>398</v>
      </c>
      <c r="G199" s="79">
        <v>354</v>
      </c>
      <c r="H199" s="76"/>
    </row>
    <row r="200" spans="1:8" x14ac:dyDescent="0.25">
      <c r="A200" s="94">
        <v>1006</v>
      </c>
      <c r="B200" s="95">
        <v>6087</v>
      </c>
      <c r="C200" s="94">
        <v>307</v>
      </c>
      <c r="D200" s="76">
        <v>802352</v>
      </c>
      <c r="E200" s="76" t="s">
        <v>148</v>
      </c>
      <c r="F200" s="76" t="s">
        <v>399</v>
      </c>
      <c r="G200" s="79">
        <v>-1988.04</v>
      </c>
      <c r="H200" s="76"/>
    </row>
    <row r="201" spans="1:8" x14ac:dyDescent="0.25">
      <c r="A201" s="94">
        <v>1106</v>
      </c>
      <c r="B201" s="95">
        <v>6157</v>
      </c>
      <c r="C201" s="94">
        <v>1707</v>
      </c>
      <c r="D201" s="76">
        <v>802625</v>
      </c>
      <c r="E201" s="76" t="s">
        <v>89</v>
      </c>
      <c r="F201" s="76" t="s">
        <v>400</v>
      </c>
      <c r="G201" s="79">
        <v>1447.99</v>
      </c>
      <c r="H201" s="76"/>
    </row>
    <row r="202" spans="1:8" x14ac:dyDescent="0.25">
      <c r="A202" s="94">
        <v>1106</v>
      </c>
      <c r="B202" s="95">
        <v>6182</v>
      </c>
      <c r="C202" s="94">
        <v>1906</v>
      </c>
      <c r="D202" s="76">
        <v>802279</v>
      </c>
      <c r="E202" s="76" t="s">
        <v>194</v>
      </c>
      <c r="F202" s="76" t="s">
        <v>401</v>
      </c>
      <c r="G202" s="79">
        <v>1899.99</v>
      </c>
      <c r="H202" s="76"/>
    </row>
    <row r="203" spans="1:8" x14ac:dyDescent="0.25">
      <c r="A203" s="94">
        <v>1106</v>
      </c>
      <c r="B203" s="95">
        <v>6164</v>
      </c>
      <c r="C203" s="94">
        <v>1906</v>
      </c>
      <c r="D203" s="76">
        <v>802277</v>
      </c>
      <c r="E203" s="76" t="s">
        <v>89</v>
      </c>
      <c r="F203" s="76" t="s">
        <v>402</v>
      </c>
      <c r="G203" s="79">
        <v>1283.67</v>
      </c>
      <c r="H203" s="76"/>
    </row>
    <row r="204" spans="1:8" x14ac:dyDescent="0.25">
      <c r="A204" s="94">
        <v>1106</v>
      </c>
      <c r="B204" s="95">
        <v>6165</v>
      </c>
      <c r="C204" s="94">
        <v>2409</v>
      </c>
      <c r="D204" s="76">
        <v>803993</v>
      </c>
      <c r="E204" s="76" t="s">
        <v>89</v>
      </c>
      <c r="F204" s="76" t="s">
        <v>402</v>
      </c>
      <c r="G204" s="79">
        <v>3493.5</v>
      </c>
      <c r="H204" s="76" t="s">
        <v>403</v>
      </c>
    </row>
    <row r="205" spans="1:8" x14ac:dyDescent="0.25">
      <c r="A205" s="94">
        <v>1106</v>
      </c>
      <c r="B205" s="95">
        <v>6166</v>
      </c>
      <c r="C205" s="94">
        <v>1906</v>
      </c>
      <c r="D205" s="76">
        <v>802275</v>
      </c>
      <c r="E205" s="76" t="s">
        <v>89</v>
      </c>
      <c r="F205" s="76" t="s">
        <v>402</v>
      </c>
      <c r="G205" s="79">
        <v>1558.39</v>
      </c>
      <c r="H205" s="76"/>
    </row>
    <row r="206" spans="1:8" x14ac:dyDescent="0.25">
      <c r="A206" s="94">
        <v>1106</v>
      </c>
      <c r="B206" s="95">
        <v>6169</v>
      </c>
      <c r="C206" s="94">
        <v>2409</v>
      </c>
      <c r="D206" s="76">
        <v>803994</v>
      </c>
      <c r="E206" s="76" t="s">
        <v>89</v>
      </c>
      <c r="F206" s="76" t="s">
        <v>402</v>
      </c>
      <c r="G206" s="79">
        <v>4610.34</v>
      </c>
      <c r="H206" s="76" t="s">
        <v>403</v>
      </c>
    </row>
    <row r="207" spans="1:8" x14ac:dyDescent="0.25">
      <c r="A207" s="94">
        <v>1106</v>
      </c>
      <c r="B207" s="95">
        <v>6195</v>
      </c>
      <c r="C207" s="94">
        <v>1107</v>
      </c>
      <c r="D207" s="76">
        <v>802432</v>
      </c>
      <c r="E207" s="76" t="s">
        <v>38</v>
      </c>
      <c r="F207" s="76" t="s">
        <v>404</v>
      </c>
      <c r="G207" s="79">
        <v>263.2</v>
      </c>
      <c r="H207" s="76"/>
    </row>
    <row r="208" spans="1:8" x14ac:dyDescent="0.25">
      <c r="A208" s="94">
        <v>1206</v>
      </c>
      <c r="B208" s="95">
        <v>6299</v>
      </c>
      <c r="C208" s="94">
        <v>2406</v>
      </c>
      <c r="D208" s="76">
        <v>802289</v>
      </c>
      <c r="E208" s="76" t="s">
        <v>89</v>
      </c>
      <c r="F208" s="76" t="s">
        <v>405</v>
      </c>
      <c r="G208" s="79">
        <v>30</v>
      </c>
      <c r="H208" s="76"/>
    </row>
    <row r="209" spans="1:12" x14ac:dyDescent="0.25">
      <c r="A209" s="94">
        <v>1206</v>
      </c>
      <c r="B209" s="95">
        <v>6303</v>
      </c>
      <c r="C209" s="94">
        <v>908</v>
      </c>
      <c r="D209" s="76">
        <v>802960</v>
      </c>
      <c r="E209" s="76" t="s">
        <v>89</v>
      </c>
      <c r="F209" s="76" t="s">
        <v>406</v>
      </c>
      <c r="G209" s="79">
        <v>180</v>
      </c>
      <c r="H209" s="76"/>
    </row>
    <row r="210" spans="1:12" x14ac:dyDescent="0.25">
      <c r="A210" s="94">
        <v>1206</v>
      </c>
      <c r="B210" s="95">
        <v>6304</v>
      </c>
      <c r="C210" s="94">
        <v>608</v>
      </c>
      <c r="D210" s="76">
        <v>802743</v>
      </c>
      <c r="E210" s="76" t="s">
        <v>38</v>
      </c>
      <c r="F210" s="76" t="s">
        <v>407</v>
      </c>
      <c r="G210" s="79">
        <v>109.21</v>
      </c>
      <c r="H210" s="76"/>
    </row>
    <row r="211" spans="1:12" x14ac:dyDescent="0.25">
      <c r="A211" s="94">
        <v>1806</v>
      </c>
      <c r="B211" s="95">
        <v>6583</v>
      </c>
      <c r="C211" s="94">
        <v>2506</v>
      </c>
      <c r="D211" s="76">
        <v>802307</v>
      </c>
      <c r="E211" s="76" t="s">
        <v>205</v>
      </c>
      <c r="F211" s="124" t="s">
        <v>408</v>
      </c>
      <c r="G211" s="79">
        <v>307.8</v>
      </c>
      <c r="H211" s="76"/>
    </row>
    <row r="212" spans="1:12" x14ac:dyDescent="0.25">
      <c r="A212" s="94">
        <v>1706</v>
      </c>
      <c r="B212" s="95">
        <v>6559</v>
      </c>
      <c r="C212" s="94">
        <v>2406</v>
      </c>
      <c r="D212" s="76">
        <v>802292</v>
      </c>
      <c r="E212" s="76" t="s">
        <v>194</v>
      </c>
      <c r="F212" s="76" t="s">
        <v>409</v>
      </c>
      <c r="G212" s="79">
        <v>50</v>
      </c>
      <c r="H212" s="76"/>
      <c r="L212" s="66"/>
    </row>
    <row r="213" spans="1:12" x14ac:dyDescent="0.25">
      <c r="A213" s="94">
        <v>1806</v>
      </c>
      <c r="B213" s="95">
        <v>6683</v>
      </c>
      <c r="C213" s="94">
        <v>1906</v>
      </c>
      <c r="D213" s="76">
        <v>401027</v>
      </c>
      <c r="E213" s="76" t="s">
        <v>127</v>
      </c>
      <c r="F213" s="76" t="s">
        <v>410</v>
      </c>
      <c r="G213" s="79">
        <v>40000</v>
      </c>
      <c r="H213" s="76"/>
      <c r="L213" s="66"/>
    </row>
    <row r="214" spans="1:12" x14ac:dyDescent="0.25">
      <c r="A214" s="94">
        <v>2406</v>
      </c>
      <c r="B214" s="95">
        <v>6757</v>
      </c>
      <c r="C214" s="94">
        <v>407</v>
      </c>
      <c r="D214" s="76">
        <v>802362</v>
      </c>
      <c r="E214" s="76" t="s">
        <v>205</v>
      </c>
      <c r="F214" s="76" t="s">
        <v>411</v>
      </c>
      <c r="G214" s="79">
        <v>160.77000000000001</v>
      </c>
      <c r="H214" s="76"/>
    </row>
    <row r="215" spans="1:12" x14ac:dyDescent="0.25">
      <c r="A215" s="94">
        <v>2406</v>
      </c>
      <c r="B215" s="95">
        <v>6792</v>
      </c>
      <c r="C215" s="94">
        <v>2406</v>
      </c>
      <c r="D215" s="76">
        <v>401050</v>
      </c>
      <c r="E215" s="76" t="s">
        <v>127</v>
      </c>
      <c r="F215" s="76" t="s">
        <v>412</v>
      </c>
      <c r="G215" s="79">
        <v>13500</v>
      </c>
      <c r="H215" s="76"/>
    </row>
    <row r="216" spans="1:12" x14ac:dyDescent="0.25">
      <c r="A216" s="94">
        <v>2506</v>
      </c>
      <c r="B216" s="95">
        <v>6898</v>
      </c>
      <c r="C216" s="94">
        <v>2506</v>
      </c>
      <c r="D216" s="76">
        <v>401079</v>
      </c>
      <c r="E216" s="76" t="s">
        <v>127</v>
      </c>
      <c r="F216" s="76" t="s">
        <v>413</v>
      </c>
      <c r="G216" s="79">
        <v>6100</v>
      </c>
      <c r="H216" s="76"/>
    </row>
    <row r="217" spans="1:12" x14ac:dyDescent="0.25">
      <c r="A217" s="94">
        <v>2606</v>
      </c>
      <c r="B217" s="95">
        <v>7012</v>
      </c>
      <c r="C217" s="94">
        <v>207</v>
      </c>
      <c r="D217" s="76">
        <v>802343</v>
      </c>
      <c r="E217" s="76" t="s">
        <v>414</v>
      </c>
      <c r="F217" s="76" t="s">
        <v>415</v>
      </c>
      <c r="G217" s="79">
        <v>897.75</v>
      </c>
      <c r="H217" s="76"/>
    </row>
    <row r="218" spans="1:12" x14ac:dyDescent="0.25">
      <c r="A218" s="94">
        <v>2706</v>
      </c>
      <c r="B218" s="95">
        <v>7046</v>
      </c>
      <c r="C218" s="159">
        <v>43747</v>
      </c>
      <c r="D218" s="76">
        <v>804899</v>
      </c>
      <c r="E218" s="76" t="s">
        <v>12</v>
      </c>
      <c r="F218" s="76" t="s">
        <v>416</v>
      </c>
      <c r="G218" s="79">
        <v>2625</v>
      </c>
      <c r="H218" s="76"/>
    </row>
    <row r="219" spans="1:12" x14ac:dyDescent="0.25">
      <c r="A219" s="94">
        <v>2706</v>
      </c>
      <c r="B219" s="95">
        <v>7081</v>
      </c>
      <c r="C219" s="94">
        <v>309</v>
      </c>
      <c r="D219" s="76">
        <v>803651</v>
      </c>
      <c r="E219" s="76" t="s">
        <v>222</v>
      </c>
      <c r="F219" s="76" t="s">
        <v>417</v>
      </c>
      <c r="G219" s="79">
        <v>4065</v>
      </c>
      <c r="H219" s="76"/>
    </row>
    <row r="220" spans="1:12" x14ac:dyDescent="0.25">
      <c r="A220" s="94">
        <v>2706</v>
      </c>
      <c r="B220" s="95">
        <v>7082</v>
      </c>
      <c r="C220" s="94">
        <v>1510</v>
      </c>
      <c r="D220" s="76">
        <v>805086</v>
      </c>
      <c r="E220" s="76" t="s">
        <v>89</v>
      </c>
      <c r="F220" s="76" t="s">
        <v>418</v>
      </c>
      <c r="G220" s="79">
        <v>2462</v>
      </c>
      <c r="H220" s="76"/>
    </row>
    <row r="221" spans="1:12" x14ac:dyDescent="0.25">
      <c r="A221" s="94">
        <v>2806</v>
      </c>
      <c r="B221" s="95">
        <v>7115</v>
      </c>
      <c r="C221" s="94">
        <v>207</v>
      </c>
      <c r="D221" s="76">
        <v>802368</v>
      </c>
      <c r="E221" s="76" t="s">
        <v>419</v>
      </c>
      <c r="F221" s="76" t="s">
        <v>420</v>
      </c>
      <c r="G221" s="79">
        <v>1431</v>
      </c>
      <c r="H221" s="76"/>
    </row>
    <row r="222" spans="1:12" x14ac:dyDescent="0.25">
      <c r="A222" s="94">
        <v>2806</v>
      </c>
      <c r="B222" s="95">
        <v>6967</v>
      </c>
      <c r="C222" s="94">
        <v>0</v>
      </c>
      <c r="D222" s="76">
        <v>0</v>
      </c>
      <c r="E222" s="76" t="s">
        <v>286</v>
      </c>
      <c r="F222" s="76" t="s">
        <v>421</v>
      </c>
      <c r="G222" s="79">
        <v>0</v>
      </c>
      <c r="H222" s="76" t="s">
        <v>422</v>
      </c>
    </row>
    <row r="223" spans="1:12" x14ac:dyDescent="0.25">
      <c r="A223" s="94">
        <v>2806</v>
      </c>
      <c r="B223" s="95">
        <v>7003</v>
      </c>
      <c r="C223" s="94">
        <v>0</v>
      </c>
      <c r="D223" s="76">
        <v>0</v>
      </c>
      <c r="E223" s="76" t="s">
        <v>286</v>
      </c>
      <c r="F223" s="76" t="s">
        <v>423</v>
      </c>
      <c r="G223" s="79">
        <v>0</v>
      </c>
      <c r="H223" s="76" t="s">
        <v>422</v>
      </c>
    </row>
    <row r="224" spans="1:12" x14ac:dyDescent="0.25">
      <c r="A224" s="94">
        <v>2806</v>
      </c>
      <c r="B224" s="95">
        <v>7005</v>
      </c>
      <c r="C224" s="94">
        <v>0</v>
      </c>
      <c r="D224" s="76">
        <v>0</v>
      </c>
      <c r="E224" s="76" t="s">
        <v>286</v>
      </c>
      <c r="F224" s="76" t="s">
        <v>424</v>
      </c>
      <c r="G224" s="79">
        <v>0</v>
      </c>
      <c r="H224" s="76" t="s">
        <v>422</v>
      </c>
    </row>
    <row r="225" spans="1:12" x14ac:dyDescent="0.25">
      <c r="A225" s="94">
        <v>2806</v>
      </c>
      <c r="B225" s="95">
        <v>7006</v>
      </c>
      <c r="C225" s="94">
        <v>0</v>
      </c>
      <c r="D225" s="76">
        <v>0</v>
      </c>
      <c r="E225" s="76" t="s">
        <v>286</v>
      </c>
      <c r="F225" s="76" t="s">
        <v>425</v>
      </c>
      <c r="G225" s="79">
        <v>0</v>
      </c>
      <c r="H225" s="76" t="s">
        <v>422</v>
      </c>
    </row>
    <row r="226" spans="1:12" x14ac:dyDescent="0.25">
      <c r="A226" s="94">
        <v>2806</v>
      </c>
      <c r="B226" s="95">
        <v>7154</v>
      </c>
      <c r="C226" s="94">
        <v>110</v>
      </c>
      <c r="D226" s="76">
        <v>804351</v>
      </c>
      <c r="E226" s="76" t="s">
        <v>12</v>
      </c>
      <c r="F226" s="76" t="s">
        <v>426</v>
      </c>
      <c r="G226" s="79">
        <v>3222.5</v>
      </c>
      <c r="H226" s="76"/>
      <c r="K226" s="125"/>
    </row>
    <row r="227" spans="1:12" x14ac:dyDescent="0.25">
      <c r="A227" s="94">
        <v>2806</v>
      </c>
      <c r="B227" s="95">
        <v>7155</v>
      </c>
      <c r="C227" s="94">
        <v>2709</v>
      </c>
      <c r="D227" s="76">
        <v>804166</v>
      </c>
      <c r="E227" s="76" t="s">
        <v>12</v>
      </c>
      <c r="F227" s="76" t="s">
        <v>427</v>
      </c>
      <c r="G227" s="79">
        <v>529</v>
      </c>
      <c r="H227" s="76"/>
      <c r="L227" s="101"/>
    </row>
    <row r="228" spans="1:12" x14ac:dyDescent="0.25">
      <c r="A228" s="94">
        <v>2806</v>
      </c>
      <c r="B228" s="95">
        <v>7156</v>
      </c>
      <c r="C228" s="94">
        <v>2709</v>
      </c>
      <c r="D228" s="76">
        <v>804165</v>
      </c>
      <c r="E228" s="76" t="s">
        <v>12</v>
      </c>
      <c r="F228" s="76" t="s">
        <v>428</v>
      </c>
      <c r="G228" s="79">
        <v>500</v>
      </c>
      <c r="H228" s="76"/>
    </row>
    <row r="229" spans="1:12" x14ac:dyDescent="0.25">
      <c r="A229" s="94">
        <v>2806</v>
      </c>
      <c r="B229" s="95">
        <v>7157</v>
      </c>
      <c r="C229" s="94">
        <v>309</v>
      </c>
      <c r="D229" s="76">
        <v>803664</v>
      </c>
      <c r="E229" s="76" t="s">
        <v>12</v>
      </c>
      <c r="F229" s="76" t="s">
        <v>429</v>
      </c>
      <c r="G229" s="79">
        <v>2279.9899999999998</v>
      </c>
      <c r="H229" s="76"/>
    </row>
    <row r="230" spans="1:12" x14ac:dyDescent="0.25">
      <c r="A230" s="94">
        <v>2806</v>
      </c>
      <c r="B230" s="95">
        <v>7158</v>
      </c>
      <c r="C230" s="159">
        <v>43747</v>
      </c>
      <c r="D230" s="76">
        <v>804898</v>
      </c>
      <c r="E230" s="76" t="s">
        <v>12</v>
      </c>
      <c r="F230" s="76" t="s">
        <v>430</v>
      </c>
      <c r="G230" s="79">
        <v>594</v>
      </c>
      <c r="H230" s="76"/>
    </row>
    <row r="231" spans="1:12" x14ac:dyDescent="0.25">
      <c r="A231" s="94">
        <v>407</v>
      </c>
      <c r="B231" s="95">
        <v>7397</v>
      </c>
      <c r="C231" s="94">
        <v>2609</v>
      </c>
      <c r="D231" s="76">
        <v>804157</v>
      </c>
      <c r="E231" s="76" t="s">
        <v>89</v>
      </c>
      <c r="F231" s="76" t="s">
        <v>431</v>
      </c>
      <c r="G231" s="79">
        <v>23.76</v>
      </c>
      <c r="H231" s="76"/>
    </row>
    <row r="232" spans="1:12" x14ac:dyDescent="0.25">
      <c r="A232" s="94">
        <v>407</v>
      </c>
      <c r="B232" s="95">
        <v>7398</v>
      </c>
      <c r="C232" s="94">
        <v>2609</v>
      </c>
      <c r="D232" s="76">
        <v>804158</v>
      </c>
      <c r="E232" s="76" t="s">
        <v>89</v>
      </c>
      <c r="F232" s="76" t="s">
        <v>432</v>
      </c>
      <c r="G232" s="79">
        <v>456.68</v>
      </c>
      <c r="H232" s="76"/>
    </row>
    <row r="233" spans="1:12" x14ac:dyDescent="0.25">
      <c r="A233" s="94">
        <v>407</v>
      </c>
      <c r="B233" s="95">
        <v>7168</v>
      </c>
      <c r="C233" s="94">
        <v>608</v>
      </c>
      <c r="D233" s="76">
        <v>4001336</v>
      </c>
      <c r="E233" s="76" t="s">
        <v>300</v>
      </c>
      <c r="F233" s="76" t="s">
        <v>433</v>
      </c>
      <c r="G233" s="79">
        <v>100</v>
      </c>
      <c r="H233" s="76"/>
    </row>
    <row r="234" spans="1:12" x14ac:dyDescent="0.25">
      <c r="A234" s="94">
        <v>807</v>
      </c>
      <c r="B234" s="95">
        <v>7485</v>
      </c>
      <c r="C234" s="94">
        <v>2609</v>
      </c>
      <c r="D234" s="76">
        <v>804159</v>
      </c>
      <c r="E234" s="76" t="s">
        <v>14</v>
      </c>
      <c r="F234" s="76" t="s">
        <v>434</v>
      </c>
      <c r="G234" s="79">
        <v>912</v>
      </c>
      <c r="H234" s="76"/>
    </row>
    <row r="235" spans="1:12" x14ac:dyDescent="0.25">
      <c r="A235" s="94">
        <v>807</v>
      </c>
      <c r="B235" s="95">
        <v>7522</v>
      </c>
      <c r="C235" s="94">
        <v>1507</v>
      </c>
      <c r="D235" s="76">
        <v>401166</v>
      </c>
      <c r="E235" s="76" t="s">
        <v>354</v>
      </c>
      <c r="F235" s="76" t="s">
        <v>435</v>
      </c>
      <c r="G235" s="79">
        <v>1100</v>
      </c>
      <c r="H235" s="76"/>
    </row>
    <row r="236" spans="1:12" x14ac:dyDescent="0.25">
      <c r="A236" s="94">
        <v>1007</v>
      </c>
      <c r="B236" s="95">
        <v>7646</v>
      </c>
      <c r="C236" s="94">
        <v>1507</v>
      </c>
      <c r="D236" s="76">
        <v>802471</v>
      </c>
      <c r="E236" s="76" t="s">
        <v>436</v>
      </c>
      <c r="F236" s="76" t="s">
        <v>243</v>
      </c>
      <c r="G236" s="79">
        <v>47</v>
      </c>
      <c r="H236" s="76"/>
    </row>
    <row r="237" spans="1:12" x14ac:dyDescent="0.25">
      <c r="A237" s="94">
        <v>1107</v>
      </c>
      <c r="B237" s="95">
        <v>7721</v>
      </c>
      <c r="C237" s="94">
        <v>508</v>
      </c>
      <c r="D237" s="76">
        <v>401323</v>
      </c>
      <c r="E237" s="76" t="s">
        <v>354</v>
      </c>
      <c r="F237" s="76" t="s">
        <v>437</v>
      </c>
      <c r="G237" s="79">
        <v>350</v>
      </c>
      <c r="H237" s="76"/>
    </row>
    <row r="238" spans="1:12" x14ac:dyDescent="0.25">
      <c r="A238" s="94">
        <v>1107</v>
      </c>
      <c r="B238" s="95">
        <v>7730</v>
      </c>
      <c r="C238" s="94">
        <v>1507</v>
      </c>
      <c r="D238" s="76">
        <v>401190</v>
      </c>
      <c r="E238" s="76" t="s">
        <v>354</v>
      </c>
      <c r="F238" s="76" t="s">
        <v>438</v>
      </c>
      <c r="G238" s="79">
        <v>1400</v>
      </c>
      <c r="H238" s="76"/>
    </row>
    <row r="239" spans="1:12" x14ac:dyDescent="0.25">
      <c r="A239" s="94">
        <v>1107</v>
      </c>
      <c r="B239" s="95">
        <v>7759</v>
      </c>
      <c r="C239" s="94">
        <v>1510</v>
      </c>
      <c r="D239" s="76">
        <v>805083</v>
      </c>
      <c r="E239" s="76" t="s">
        <v>89</v>
      </c>
      <c r="F239" s="76" t="s">
        <v>439</v>
      </c>
      <c r="G239" s="79">
        <v>900</v>
      </c>
      <c r="H239" s="76"/>
    </row>
    <row r="240" spans="1:12" x14ac:dyDescent="0.25">
      <c r="A240" s="94">
        <v>1107</v>
      </c>
      <c r="B240" s="95">
        <v>7762</v>
      </c>
      <c r="C240" s="94">
        <v>1510</v>
      </c>
      <c r="D240" s="76">
        <v>805084</v>
      </c>
      <c r="E240" s="76" t="s">
        <v>89</v>
      </c>
      <c r="F240" s="76" t="s">
        <v>440</v>
      </c>
      <c r="G240" s="79">
        <v>3936</v>
      </c>
      <c r="H240" s="76"/>
    </row>
    <row r="241" spans="1:8" x14ac:dyDescent="0.25">
      <c r="A241" s="94">
        <v>1207</v>
      </c>
      <c r="B241" s="95">
        <v>7869</v>
      </c>
      <c r="C241" s="94">
        <v>1707</v>
      </c>
      <c r="D241" s="76">
        <v>401225</v>
      </c>
      <c r="E241" s="76" t="s">
        <v>441</v>
      </c>
      <c r="F241" s="76" t="s">
        <v>442</v>
      </c>
      <c r="G241" s="79">
        <v>850</v>
      </c>
      <c r="H241" s="76"/>
    </row>
    <row r="242" spans="1:8" x14ac:dyDescent="0.25">
      <c r="A242" s="94">
        <v>1207</v>
      </c>
      <c r="B242" s="95">
        <v>7876</v>
      </c>
      <c r="C242" s="94">
        <v>1607</v>
      </c>
      <c r="D242" s="76">
        <v>401197</v>
      </c>
      <c r="E242" s="76" t="s">
        <v>127</v>
      </c>
      <c r="F242" s="76" t="s">
        <v>443</v>
      </c>
      <c r="G242" s="79">
        <v>8372</v>
      </c>
      <c r="H242" s="76"/>
    </row>
    <row r="243" spans="1:8" x14ac:dyDescent="0.25">
      <c r="A243" s="94">
        <v>1507</v>
      </c>
      <c r="B243" s="95">
        <v>7907</v>
      </c>
      <c r="C243" s="94">
        <v>1607</v>
      </c>
      <c r="D243" s="76">
        <v>401207</v>
      </c>
      <c r="E243" s="76" t="s">
        <v>127</v>
      </c>
      <c r="F243" s="76" t="s">
        <v>444</v>
      </c>
      <c r="G243" s="79">
        <v>7200</v>
      </c>
      <c r="H243" s="76"/>
    </row>
    <row r="244" spans="1:8" x14ac:dyDescent="0.25">
      <c r="A244" s="94">
        <v>1507</v>
      </c>
      <c r="B244" s="95">
        <v>7940</v>
      </c>
      <c r="C244" s="94">
        <v>1607</v>
      </c>
      <c r="D244" s="76">
        <v>401206</v>
      </c>
      <c r="E244" s="76" t="s">
        <v>127</v>
      </c>
      <c r="F244" s="76" t="s">
        <v>445</v>
      </c>
      <c r="G244" s="79">
        <v>4710.13</v>
      </c>
      <c r="H244" s="76"/>
    </row>
    <row r="245" spans="1:8" x14ac:dyDescent="0.25">
      <c r="A245" s="94">
        <v>1507</v>
      </c>
      <c r="B245" s="95">
        <v>7956</v>
      </c>
      <c r="C245" s="94">
        <v>1707</v>
      </c>
      <c r="D245" s="76">
        <v>401203</v>
      </c>
      <c r="E245" s="76" t="s">
        <v>38</v>
      </c>
      <c r="F245" s="10" t="s">
        <v>446</v>
      </c>
      <c r="G245" s="23">
        <v>-1372.67</v>
      </c>
      <c r="H245" s="76"/>
    </row>
    <row r="246" spans="1:8" x14ac:dyDescent="0.25">
      <c r="A246" s="94">
        <v>1607</v>
      </c>
      <c r="B246" s="95">
        <v>7995</v>
      </c>
      <c r="C246" s="94">
        <v>2609</v>
      </c>
      <c r="D246" s="76">
        <v>804160</v>
      </c>
      <c r="E246" s="76" t="s">
        <v>89</v>
      </c>
      <c r="F246" s="76" t="s">
        <v>447</v>
      </c>
      <c r="G246" s="79">
        <v>1484</v>
      </c>
      <c r="H246" s="76"/>
    </row>
    <row r="247" spans="1:8" x14ac:dyDescent="0.25">
      <c r="A247" s="94">
        <v>1807</v>
      </c>
      <c r="B247" s="95">
        <v>8133</v>
      </c>
      <c r="C247" s="94">
        <v>708</v>
      </c>
      <c r="D247" s="76">
        <v>802880</v>
      </c>
      <c r="E247" s="76" t="s">
        <v>8</v>
      </c>
      <c r="F247" s="76" t="s">
        <v>319</v>
      </c>
      <c r="G247" s="79">
        <v>42075</v>
      </c>
      <c r="H247" s="76"/>
    </row>
    <row r="248" spans="1:8" x14ac:dyDescent="0.25">
      <c r="A248" s="94">
        <v>1807</v>
      </c>
      <c r="B248" s="95">
        <v>8142</v>
      </c>
      <c r="C248" s="94">
        <v>708</v>
      </c>
      <c r="D248" s="76">
        <v>802879</v>
      </c>
      <c r="E248" s="76" t="s">
        <v>8</v>
      </c>
      <c r="F248" s="76" t="s">
        <v>318</v>
      </c>
      <c r="G248" s="79">
        <v>22619.88</v>
      </c>
      <c r="H248" s="76"/>
    </row>
    <row r="249" spans="1:8" x14ac:dyDescent="0.25">
      <c r="A249" s="94">
        <v>1807</v>
      </c>
      <c r="B249" s="95">
        <v>8135</v>
      </c>
      <c r="C249" s="94">
        <v>708</v>
      </c>
      <c r="D249" s="76">
        <v>802878</v>
      </c>
      <c r="E249" s="76" t="s">
        <v>8</v>
      </c>
      <c r="F249" s="76" t="s">
        <v>448</v>
      </c>
      <c r="G249" s="79">
        <v>8400</v>
      </c>
      <c r="H249" s="76"/>
    </row>
    <row r="250" spans="1:8" x14ac:dyDescent="0.25">
      <c r="A250" s="94">
        <v>1907</v>
      </c>
      <c r="B250" s="95">
        <v>8260</v>
      </c>
      <c r="C250" s="94">
        <v>1510</v>
      </c>
      <c r="D250" s="76">
        <v>805078</v>
      </c>
      <c r="E250" s="76" t="s">
        <v>89</v>
      </c>
      <c r="F250" s="76" t="s">
        <v>449</v>
      </c>
      <c r="G250" s="79">
        <v>275</v>
      </c>
      <c r="H250" s="76"/>
    </row>
    <row r="251" spans="1:8" x14ac:dyDescent="0.25">
      <c r="A251" s="94">
        <v>1907</v>
      </c>
      <c r="B251" s="95">
        <v>8269</v>
      </c>
      <c r="C251" s="94">
        <v>2709</v>
      </c>
      <c r="D251" s="76">
        <v>804175</v>
      </c>
      <c r="E251" s="76" t="s">
        <v>89</v>
      </c>
      <c r="F251" s="76" t="s">
        <v>450</v>
      </c>
      <c r="G251" s="79">
        <v>160</v>
      </c>
      <c r="H251" s="76"/>
    </row>
    <row r="252" spans="1:8" x14ac:dyDescent="0.25">
      <c r="A252" s="94">
        <v>2207</v>
      </c>
      <c r="B252" s="95">
        <v>8392</v>
      </c>
      <c r="C252" s="94">
        <v>1510</v>
      </c>
      <c r="D252" s="76">
        <v>805079</v>
      </c>
      <c r="E252" s="76" t="s">
        <v>194</v>
      </c>
      <c r="F252" s="76" t="s">
        <v>451</v>
      </c>
      <c r="G252" s="79">
        <v>1312</v>
      </c>
      <c r="H252" s="76"/>
    </row>
    <row r="253" spans="1:8" x14ac:dyDescent="0.25">
      <c r="A253" s="94">
        <v>2207</v>
      </c>
      <c r="B253" s="95">
        <v>8448</v>
      </c>
      <c r="C253" s="94">
        <v>1510</v>
      </c>
      <c r="D253" s="76">
        <v>805080</v>
      </c>
      <c r="E253" s="76" t="s">
        <v>452</v>
      </c>
      <c r="F253" s="76" t="s">
        <v>453</v>
      </c>
      <c r="G253" s="79">
        <v>375</v>
      </c>
      <c r="H253" s="76"/>
    </row>
    <row r="254" spans="1:8" x14ac:dyDescent="0.25">
      <c r="A254" s="94">
        <v>2407</v>
      </c>
      <c r="B254" s="95">
        <v>8469</v>
      </c>
      <c r="C254" s="94">
        <v>1510</v>
      </c>
      <c r="D254" s="76">
        <v>805081</v>
      </c>
      <c r="E254" s="76" t="s">
        <v>38</v>
      </c>
      <c r="F254" s="76" t="s">
        <v>454</v>
      </c>
      <c r="G254" s="79">
        <v>1572</v>
      </c>
      <c r="H254" s="76"/>
    </row>
    <row r="255" spans="1:8" x14ac:dyDescent="0.25">
      <c r="A255" s="94">
        <v>1907</v>
      </c>
      <c r="B255" s="95">
        <v>8212</v>
      </c>
      <c r="C255" s="94">
        <v>2207</v>
      </c>
      <c r="D255" s="76">
        <v>802588</v>
      </c>
      <c r="E255" s="76" t="s">
        <v>194</v>
      </c>
      <c r="F255" s="76" t="s">
        <v>455</v>
      </c>
      <c r="G255" s="79">
        <v>-2729</v>
      </c>
      <c r="H255" s="76"/>
    </row>
    <row r="256" spans="1:8" x14ac:dyDescent="0.25">
      <c r="A256" s="94">
        <v>1707</v>
      </c>
      <c r="B256" s="95">
        <v>8083</v>
      </c>
      <c r="C256" s="94">
        <v>1807</v>
      </c>
      <c r="D256" s="76">
        <v>802553</v>
      </c>
      <c r="E256" s="76" t="s">
        <v>12</v>
      </c>
      <c r="F256" s="76" t="s">
        <v>456</v>
      </c>
      <c r="G256" s="79">
        <v>50000</v>
      </c>
      <c r="H256" s="76"/>
    </row>
    <row r="257" spans="1:8" x14ac:dyDescent="0.25">
      <c r="A257" s="94">
        <v>3107</v>
      </c>
      <c r="B257" s="95">
        <v>8721</v>
      </c>
      <c r="C257" s="94">
        <v>1610</v>
      </c>
      <c r="D257" s="76">
        <v>805139</v>
      </c>
      <c r="E257" s="76" t="s">
        <v>222</v>
      </c>
      <c r="F257" s="76" t="s">
        <v>457</v>
      </c>
      <c r="G257" s="79">
        <v>324.99</v>
      </c>
      <c r="H257" s="76"/>
    </row>
    <row r="258" spans="1:8" x14ac:dyDescent="0.25">
      <c r="A258" s="94">
        <v>108</v>
      </c>
      <c r="B258" s="95">
        <v>8756</v>
      </c>
      <c r="C258" s="94">
        <v>2409</v>
      </c>
      <c r="D258" s="76">
        <v>803995</v>
      </c>
      <c r="E258" s="76" t="s">
        <v>89</v>
      </c>
      <c r="F258" s="76" t="s">
        <v>458</v>
      </c>
      <c r="G258" s="79">
        <v>1508.11</v>
      </c>
      <c r="H258" s="76"/>
    </row>
    <row r="259" spans="1:8" x14ac:dyDescent="0.25">
      <c r="A259" s="94">
        <v>108</v>
      </c>
      <c r="B259" s="95">
        <v>8757</v>
      </c>
      <c r="C259" s="94">
        <v>2409</v>
      </c>
      <c r="D259" s="76">
        <v>803996</v>
      </c>
      <c r="E259" s="76" t="s">
        <v>89</v>
      </c>
      <c r="F259" s="76" t="s">
        <v>459</v>
      </c>
      <c r="G259" s="79">
        <v>2310</v>
      </c>
      <c r="H259" s="76"/>
    </row>
    <row r="260" spans="1:8" x14ac:dyDescent="0.25">
      <c r="A260" s="94">
        <v>608</v>
      </c>
      <c r="B260" s="95">
        <v>8863</v>
      </c>
      <c r="C260" s="94">
        <v>1610</v>
      </c>
      <c r="D260" s="76">
        <v>805142</v>
      </c>
      <c r="E260" s="76" t="s">
        <v>89</v>
      </c>
      <c r="F260" s="76" t="s">
        <v>460</v>
      </c>
      <c r="G260" s="79">
        <v>3222</v>
      </c>
      <c r="H260" s="76"/>
    </row>
    <row r="261" spans="1:8" x14ac:dyDescent="0.25">
      <c r="A261" s="94">
        <v>608</v>
      </c>
      <c r="B261" s="95">
        <v>8866</v>
      </c>
      <c r="C261" s="94">
        <v>908</v>
      </c>
      <c r="D261" s="76">
        <v>802942</v>
      </c>
      <c r="E261" s="76" t="s">
        <v>127</v>
      </c>
      <c r="F261" s="76" t="s">
        <v>461</v>
      </c>
      <c r="G261" s="79">
        <v>-10741</v>
      </c>
      <c r="H261" s="76"/>
    </row>
    <row r="262" spans="1:8" x14ac:dyDescent="0.25">
      <c r="A262" s="94">
        <v>608</v>
      </c>
      <c r="B262" s="95">
        <v>8867</v>
      </c>
      <c r="C262" s="94">
        <v>708</v>
      </c>
      <c r="D262" s="76">
        <v>802846</v>
      </c>
      <c r="E262" s="76" t="s">
        <v>127</v>
      </c>
      <c r="F262" s="76" t="s">
        <v>163</v>
      </c>
      <c r="G262" s="79">
        <v>10741.89</v>
      </c>
      <c r="H262" s="76"/>
    </row>
    <row r="263" spans="1:8" x14ac:dyDescent="0.25">
      <c r="A263" s="94">
        <v>608</v>
      </c>
      <c r="B263" s="95">
        <v>8899</v>
      </c>
      <c r="C263" s="94">
        <v>708</v>
      </c>
      <c r="D263" s="76">
        <v>802881</v>
      </c>
      <c r="E263" s="76" t="s">
        <v>89</v>
      </c>
      <c r="F263" s="76" t="s">
        <v>462</v>
      </c>
      <c r="G263" s="79">
        <v>-4941.78</v>
      </c>
      <c r="H263" s="76"/>
    </row>
    <row r="264" spans="1:8" x14ac:dyDescent="0.25">
      <c r="A264" s="94">
        <v>608</v>
      </c>
      <c r="B264" s="95">
        <v>8900</v>
      </c>
      <c r="C264" s="94">
        <v>708</v>
      </c>
      <c r="D264" s="76">
        <v>802883</v>
      </c>
      <c r="E264" s="76" t="s">
        <v>89</v>
      </c>
      <c r="F264" s="76" t="s">
        <v>462</v>
      </c>
      <c r="G264" s="79">
        <v>-687.78</v>
      </c>
      <c r="H264" s="76"/>
    </row>
    <row r="265" spans="1:8" x14ac:dyDescent="0.25">
      <c r="A265" s="94">
        <v>908</v>
      </c>
      <c r="B265" s="95">
        <v>9070</v>
      </c>
      <c r="C265" s="94">
        <v>509</v>
      </c>
      <c r="D265" s="76">
        <v>803462</v>
      </c>
      <c r="E265" s="76" t="s">
        <v>194</v>
      </c>
      <c r="F265" s="76" t="s">
        <v>463</v>
      </c>
      <c r="G265" s="79">
        <v>347.8</v>
      </c>
      <c r="H265" s="76"/>
    </row>
    <row r="266" spans="1:8" x14ac:dyDescent="0.25">
      <c r="A266" s="94">
        <v>908</v>
      </c>
      <c r="B266" s="95">
        <v>9072</v>
      </c>
      <c r="C266" s="94">
        <v>509</v>
      </c>
      <c r="D266" s="76">
        <v>803463</v>
      </c>
      <c r="E266" s="76" t="s">
        <v>194</v>
      </c>
      <c r="F266" s="76" t="s">
        <v>464</v>
      </c>
      <c r="G266" s="79">
        <v>296.5</v>
      </c>
      <c r="H266" s="76"/>
    </row>
    <row r="267" spans="1:8" x14ac:dyDescent="0.25">
      <c r="A267" s="94">
        <v>908</v>
      </c>
      <c r="B267" s="95">
        <v>9085</v>
      </c>
      <c r="C267" s="94">
        <v>1510</v>
      </c>
      <c r="D267" s="76">
        <v>805085</v>
      </c>
      <c r="E267" s="76" t="s">
        <v>8</v>
      </c>
      <c r="F267" s="76" t="s">
        <v>465</v>
      </c>
      <c r="G267" s="79">
        <v>772</v>
      </c>
      <c r="H267" s="76"/>
    </row>
    <row r="268" spans="1:8" x14ac:dyDescent="0.25">
      <c r="A268" s="94">
        <v>908</v>
      </c>
      <c r="B268" s="95">
        <v>9089</v>
      </c>
      <c r="C268" s="94">
        <v>2709</v>
      </c>
      <c r="D268" s="76">
        <v>804176</v>
      </c>
      <c r="E268" s="76" t="s">
        <v>354</v>
      </c>
      <c r="F268" s="76" t="s">
        <v>466</v>
      </c>
      <c r="G268" s="79">
        <v>104</v>
      </c>
      <c r="H268" s="76"/>
    </row>
    <row r="269" spans="1:8" x14ac:dyDescent="0.25">
      <c r="A269" s="94">
        <v>2008</v>
      </c>
      <c r="B269" s="95">
        <v>9659</v>
      </c>
      <c r="C269" s="94">
        <v>2409</v>
      </c>
      <c r="D269" s="76">
        <v>803997</v>
      </c>
      <c r="E269" s="76" t="s">
        <v>89</v>
      </c>
      <c r="F269" s="76" t="s">
        <v>467</v>
      </c>
      <c r="G269" s="79">
        <v>36.6</v>
      </c>
      <c r="H269" s="76"/>
    </row>
    <row r="270" spans="1:8" x14ac:dyDescent="0.25">
      <c r="A270" s="94">
        <v>2008</v>
      </c>
      <c r="B270" s="95">
        <v>9660</v>
      </c>
      <c r="C270" s="94">
        <v>2409</v>
      </c>
      <c r="D270" s="76">
        <v>803998</v>
      </c>
      <c r="E270" s="76" t="s">
        <v>89</v>
      </c>
      <c r="F270" s="76" t="s">
        <v>467</v>
      </c>
      <c r="G270" s="79">
        <v>57.89</v>
      </c>
      <c r="H270" s="76"/>
    </row>
    <row r="271" spans="1:8" x14ac:dyDescent="0.25">
      <c r="A271" s="94">
        <v>2008</v>
      </c>
      <c r="B271" s="95">
        <v>9726</v>
      </c>
      <c r="C271" s="94">
        <v>2608</v>
      </c>
      <c r="D271" s="76">
        <v>803185</v>
      </c>
      <c r="E271" s="76" t="s">
        <v>89</v>
      </c>
      <c r="F271" s="76" t="s">
        <v>468</v>
      </c>
      <c r="G271" s="79">
        <v>326.8</v>
      </c>
      <c r="H271" s="76"/>
    </row>
    <row r="272" spans="1:8" x14ac:dyDescent="0.25">
      <c r="A272" s="94">
        <v>2108</v>
      </c>
      <c r="B272" s="95">
        <v>9789</v>
      </c>
      <c r="C272" s="94">
        <v>2709</v>
      </c>
      <c r="D272" s="76">
        <v>804177</v>
      </c>
      <c r="E272" s="76" t="s">
        <v>24</v>
      </c>
      <c r="F272" s="76" t="s">
        <v>469</v>
      </c>
      <c r="G272" s="79">
        <v>139</v>
      </c>
      <c r="H272" s="76"/>
    </row>
    <row r="273" spans="1:10" x14ac:dyDescent="0.25">
      <c r="A273" s="94">
        <v>2208</v>
      </c>
      <c r="B273" s="95">
        <v>9927</v>
      </c>
      <c r="C273" s="94">
        <v>2208</v>
      </c>
      <c r="D273" s="76">
        <v>401470</v>
      </c>
      <c r="E273" s="76" t="s">
        <v>127</v>
      </c>
      <c r="F273" s="76" t="s">
        <v>470</v>
      </c>
      <c r="G273" s="79">
        <v>8284</v>
      </c>
      <c r="H273" s="76"/>
    </row>
    <row r="274" spans="1:10" x14ac:dyDescent="0.25">
      <c r="A274" s="94">
        <v>2308</v>
      </c>
      <c r="B274" s="95">
        <v>9932</v>
      </c>
      <c r="C274" s="94">
        <v>2808</v>
      </c>
      <c r="D274" s="76">
        <v>401513</v>
      </c>
      <c r="E274" s="76" t="s">
        <v>286</v>
      </c>
      <c r="F274" s="76" t="s">
        <v>471</v>
      </c>
      <c r="G274" s="79">
        <v>500</v>
      </c>
      <c r="H274" s="76"/>
    </row>
    <row r="275" spans="1:10" x14ac:dyDescent="0.25">
      <c r="A275" s="94">
        <v>2308</v>
      </c>
      <c r="B275" s="95">
        <v>10065</v>
      </c>
      <c r="C275" s="94">
        <v>409</v>
      </c>
      <c r="D275" s="76">
        <v>803333</v>
      </c>
      <c r="E275" s="76" t="s">
        <v>89</v>
      </c>
      <c r="F275" s="100" t="s">
        <v>331</v>
      </c>
      <c r="G275" s="79">
        <v>6000</v>
      </c>
      <c r="H275" s="76"/>
    </row>
    <row r="276" spans="1:10" x14ac:dyDescent="0.25">
      <c r="A276" s="94">
        <v>2308</v>
      </c>
      <c r="B276" s="95">
        <v>10067</v>
      </c>
      <c r="C276" s="94">
        <v>409</v>
      </c>
      <c r="D276" s="76">
        <v>803334</v>
      </c>
      <c r="E276" s="76" t="s">
        <v>89</v>
      </c>
      <c r="F276" s="100" t="s">
        <v>146</v>
      </c>
      <c r="G276" s="79">
        <v>2000</v>
      </c>
      <c r="H276" s="76"/>
    </row>
    <row r="277" spans="1:10" x14ac:dyDescent="0.25">
      <c r="A277" s="94">
        <v>2308</v>
      </c>
      <c r="B277" s="95">
        <v>10071</v>
      </c>
      <c r="C277" s="94">
        <v>110</v>
      </c>
      <c r="D277" s="76">
        <v>804363</v>
      </c>
      <c r="E277" s="76" t="s">
        <v>127</v>
      </c>
      <c r="F277" s="76" t="s">
        <v>163</v>
      </c>
      <c r="G277" s="79">
        <v>0</v>
      </c>
      <c r="H277" s="76" t="s">
        <v>472</v>
      </c>
      <c r="J277" s="102"/>
    </row>
    <row r="278" spans="1:10" x14ac:dyDescent="0.25">
      <c r="A278" s="94">
        <v>2708</v>
      </c>
      <c r="B278" s="95">
        <v>10054</v>
      </c>
      <c r="C278" s="94">
        <v>1510</v>
      </c>
      <c r="D278" s="76">
        <v>805087</v>
      </c>
      <c r="E278" s="76" t="s">
        <v>89</v>
      </c>
      <c r="F278" s="76" t="s">
        <v>473</v>
      </c>
      <c r="G278" s="79">
        <v>783.76</v>
      </c>
      <c r="H278" s="76"/>
    </row>
    <row r="279" spans="1:10" x14ac:dyDescent="0.25">
      <c r="A279" s="94">
        <v>2808</v>
      </c>
      <c r="B279" s="95">
        <v>10232</v>
      </c>
      <c r="C279" s="94">
        <v>1610</v>
      </c>
      <c r="D279" s="76">
        <v>805124</v>
      </c>
      <c r="E279" s="76" t="s">
        <v>89</v>
      </c>
      <c r="F279" s="76" t="s">
        <v>474</v>
      </c>
      <c r="G279" s="79">
        <v>1618.26</v>
      </c>
      <c r="H279" s="76"/>
      <c r="J279" s="102"/>
    </row>
    <row r="280" spans="1:10" x14ac:dyDescent="0.25">
      <c r="A280" s="94">
        <v>2808</v>
      </c>
      <c r="B280" s="95">
        <v>10197</v>
      </c>
      <c r="C280" s="94">
        <v>110</v>
      </c>
      <c r="D280" s="76">
        <v>401789</v>
      </c>
      <c r="E280" s="76" t="s">
        <v>300</v>
      </c>
      <c r="F280" s="76" t="s">
        <v>475</v>
      </c>
      <c r="G280" s="79">
        <v>1953</v>
      </c>
      <c r="H280" s="76"/>
    </row>
    <row r="281" spans="1:10" x14ac:dyDescent="0.25">
      <c r="A281" s="94">
        <v>2808</v>
      </c>
      <c r="B281" s="95">
        <v>10288</v>
      </c>
      <c r="C281" s="94">
        <v>2709</v>
      </c>
      <c r="D281" s="76">
        <v>804193</v>
      </c>
      <c r="E281" s="76" t="s">
        <v>452</v>
      </c>
      <c r="F281" s="76" t="s">
        <v>476</v>
      </c>
      <c r="G281" s="79">
        <v>740</v>
      </c>
      <c r="H281" s="76"/>
      <c r="J281" s="102"/>
    </row>
    <row r="282" spans="1:10" x14ac:dyDescent="0.25">
      <c r="A282" s="94">
        <v>3008</v>
      </c>
      <c r="B282" s="95">
        <v>10465</v>
      </c>
      <c r="C282" s="94">
        <v>1610</v>
      </c>
      <c r="D282" s="76">
        <v>802137</v>
      </c>
      <c r="E282" s="76" t="s">
        <v>89</v>
      </c>
      <c r="F282" s="76" t="s">
        <v>477</v>
      </c>
      <c r="G282" s="79">
        <v>16662.189999999995</v>
      </c>
      <c r="H282" s="76"/>
    </row>
    <row r="283" spans="1:10" x14ac:dyDescent="0.25">
      <c r="A283" s="94">
        <v>3008</v>
      </c>
      <c r="B283" s="95">
        <v>10466</v>
      </c>
      <c r="C283" s="94">
        <v>1610</v>
      </c>
      <c r="D283" s="76">
        <v>805125</v>
      </c>
      <c r="E283" s="76" t="s">
        <v>89</v>
      </c>
      <c r="F283" s="76" t="s">
        <v>478</v>
      </c>
      <c r="G283" s="79">
        <v>5111.26</v>
      </c>
      <c r="H283" s="76"/>
    </row>
    <row r="284" spans="1:10" x14ac:dyDescent="0.25">
      <c r="A284" s="94">
        <v>209</v>
      </c>
      <c r="B284" s="95">
        <v>10463</v>
      </c>
      <c r="C284" s="94">
        <v>2709</v>
      </c>
      <c r="D284" s="76">
        <v>804178</v>
      </c>
      <c r="E284" s="76" t="s">
        <v>38</v>
      </c>
      <c r="F284" s="76" t="s">
        <v>479</v>
      </c>
      <c r="G284" s="79">
        <v>240</v>
      </c>
      <c r="H284" s="76"/>
    </row>
    <row r="285" spans="1:10" x14ac:dyDescent="0.25">
      <c r="A285" s="94">
        <v>309</v>
      </c>
      <c r="B285" s="95">
        <v>10653</v>
      </c>
      <c r="C285" s="94">
        <v>1309</v>
      </c>
      <c r="D285" s="76">
        <v>803695</v>
      </c>
      <c r="E285" s="76" t="s">
        <v>205</v>
      </c>
      <c r="F285" s="76" t="s">
        <v>480</v>
      </c>
      <c r="G285" s="79">
        <v>201.45</v>
      </c>
      <c r="H285" s="76"/>
    </row>
    <row r="286" spans="1:10" x14ac:dyDescent="0.25">
      <c r="A286" s="94">
        <v>309</v>
      </c>
      <c r="B286" s="95">
        <v>10655</v>
      </c>
      <c r="C286" s="94">
        <v>1309</v>
      </c>
      <c r="D286" s="76">
        <v>803710</v>
      </c>
      <c r="E286" s="76" t="s">
        <v>205</v>
      </c>
      <c r="F286" s="76" t="s">
        <v>480</v>
      </c>
      <c r="G286" s="79">
        <v>119.99</v>
      </c>
      <c r="H286" s="76"/>
    </row>
    <row r="287" spans="1:10" x14ac:dyDescent="0.25">
      <c r="A287" s="94">
        <v>309</v>
      </c>
      <c r="B287" s="95">
        <v>10657</v>
      </c>
      <c r="C287" s="94">
        <v>1309</v>
      </c>
      <c r="D287" s="76">
        <v>803711</v>
      </c>
      <c r="E287" s="76" t="s">
        <v>205</v>
      </c>
      <c r="F287" s="76" t="s">
        <v>480</v>
      </c>
      <c r="G287" s="79">
        <v>28.22</v>
      </c>
      <c r="H287" s="76"/>
    </row>
    <row r="288" spans="1:10" x14ac:dyDescent="0.25">
      <c r="A288" s="94">
        <v>309</v>
      </c>
      <c r="B288" s="95">
        <v>10680</v>
      </c>
      <c r="C288" s="94">
        <v>110</v>
      </c>
      <c r="D288" s="76">
        <v>804355</v>
      </c>
      <c r="E288" s="76" t="s">
        <v>38</v>
      </c>
      <c r="F288" s="76" t="s">
        <v>481</v>
      </c>
      <c r="G288" s="79">
        <v>318</v>
      </c>
      <c r="H288" s="76"/>
    </row>
    <row r="289" spans="1:8" x14ac:dyDescent="0.25">
      <c r="A289" s="94">
        <v>309</v>
      </c>
      <c r="B289" s="95">
        <v>10682</v>
      </c>
      <c r="C289" s="94">
        <v>2709</v>
      </c>
      <c r="D289" s="76">
        <v>804181</v>
      </c>
      <c r="E289" s="76" t="s">
        <v>38</v>
      </c>
      <c r="F289" s="76" t="s">
        <v>481</v>
      </c>
      <c r="G289" s="79">
        <v>124.95</v>
      </c>
      <c r="H289" s="76"/>
    </row>
    <row r="290" spans="1:8" x14ac:dyDescent="0.25">
      <c r="A290" s="94">
        <v>309</v>
      </c>
      <c r="B290" s="95">
        <v>10684</v>
      </c>
      <c r="C290" s="94">
        <v>2709</v>
      </c>
      <c r="D290" s="76">
        <v>804190</v>
      </c>
      <c r="E290" s="76" t="s">
        <v>38</v>
      </c>
      <c r="F290" s="76" t="s">
        <v>481</v>
      </c>
      <c r="G290" s="79">
        <v>668.17</v>
      </c>
      <c r="H290" s="76"/>
    </row>
    <row r="291" spans="1:8" x14ac:dyDescent="0.25">
      <c r="A291" s="94">
        <v>309</v>
      </c>
      <c r="B291" s="95">
        <v>10685</v>
      </c>
      <c r="C291" s="94">
        <v>2709</v>
      </c>
      <c r="D291" s="76">
        <v>804163</v>
      </c>
      <c r="E291" s="76" t="s">
        <v>38</v>
      </c>
      <c r="F291" s="76" t="s">
        <v>481</v>
      </c>
      <c r="G291" s="79">
        <v>24.96</v>
      </c>
      <c r="H291" s="76"/>
    </row>
    <row r="292" spans="1:8" x14ac:dyDescent="0.25">
      <c r="A292" s="94">
        <v>309</v>
      </c>
      <c r="B292" s="95">
        <v>10687</v>
      </c>
      <c r="C292" s="94">
        <v>2709</v>
      </c>
      <c r="D292" s="76">
        <v>804164</v>
      </c>
      <c r="E292" s="76" t="s">
        <v>38</v>
      </c>
      <c r="F292" s="76" t="s">
        <v>481</v>
      </c>
      <c r="G292" s="79">
        <v>650</v>
      </c>
      <c r="H292" s="76"/>
    </row>
    <row r="293" spans="1:8" x14ac:dyDescent="0.25">
      <c r="A293" s="94">
        <v>309</v>
      </c>
      <c r="B293" s="95">
        <v>10690</v>
      </c>
      <c r="C293" s="94">
        <v>2709</v>
      </c>
      <c r="D293" s="76">
        <v>804229</v>
      </c>
      <c r="E293" s="76" t="s">
        <v>38</v>
      </c>
      <c r="F293" s="76" t="s">
        <v>481</v>
      </c>
      <c r="G293" s="79">
        <v>314.27999999999997</v>
      </c>
      <c r="H293" s="76"/>
    </row>
    <row r="294" spans="1:8" x14ac:dyDescent="0.25">
      <c r="A294" s="94">
        <v>309</v>
      </c>
      <c r="B294" s="95">
        <v>10691</v>
      </c>
      <c r="C294" s="94">
        <v>2709</v>
      </c>
      <c r="D294" s="76">
        <v>804168</v>
      </c>
      <c r="E294" s="76" t="s">
        <v>38</v>
      </c>
      <c r="F294" s="76" t="s">
        <v>481</v>
      </c>
      <c r="G294" s="79">
        <v>842.41999999999985</v>
      </c>
      <c r="H294" s="76"/>
    </row>
    <row r="295" spans="1:8" x14ac:dyDescent="0.25">
      <c r="A295" s="94">
        <v>309</v>
      </c>
      <c r="B295" s="95">
        <v>10695</v>
      </c>
      <c r="C295" s="94">
        <v>1610</v>
      </c>
      <c r="D295" s="76">
        <v>805180</v>
      </c>
      <c r="E295" s="76" t="s">
        <v>300</v>
      </c>
      <c r="F295" s="76" t="s">
        <v>482</v>
      </c>
      <c r="G295" s="79">
        <v>1000</v>
      </c>
      <c r="H295" s="76"/>
    </row>
    <row r="296" spans="1:8" x14ac:dyDescent="0.25">
      <c r="A296" s="94">
        <v>409</v>
      </c>
      <c r="B296" s="95">
        <v>10727</v>
      </c>
      <c r="C296" s="94">
        <v>2709</v>
      </c>
      <c r="D296" s="76">
        <v>804228</v>
      </c>
      <c r="E296" s="76" t="s">
        <v>8</v>
      </c>
      <c r="F296" s="76" t="s">
        <v>483</v>
      </c>
      <c r="G296" s="79">
        <v>2309.25</v>
      </c>
      <c r="H296" s="76"/>
    </row>
    <row r="297" spans="1:8" x14ac:dyDescent="0.25">
      <c r="A297" s="94">
        <v>509</v>
      </c>
      <c r="B297" s="95">
        <v>10833</v>
      </c>
      <c r="C297" s="94">
        <v>2110</v>
      </c>
      <c r="D297" s="76">
        <v>805467</v>
      </c>
      <c r="E297" s="76" t="s">
        <v>269</v>
      </c>
      <c r="F297" s="76" t="s">
        <v>484</v>
      </c>
      <c r="G297" s="79">
        <v>5049.99</v>
      </c>
      <c r="H297" s="76"/>
    </row>
    <row r="298" spans="1:8" x14ac:dyDescent="0.25">
      <c r="A298" s="94">
        <v>509</v>
      </c>
      <c r="B298" s="95">
        <v>10831</v>
      </c>
      <c r="C298" s="94">
        <v>1610</v>
      </c>
      <c r="D298" s="76">
        <v>805148</v>
      </c>
      <c r="E298" s="76" t="s">
        <v>89</v>
      </c>
      <c r="F298" s="76" t="s">
        <v>485</v>
      </c>
      <c r="G298" s="79">
        <v>1822.68</v>
      </c>
      <c r="H298" s="76"/>
    </row>
    <row r="299" spans="1:8" x14ac:dyDescent="0.25">
      <c r="A299" s="94">
        <v>509</v>
      </c>
      <c r="B299" s="95">
        <v>10832</v>
      </c>
      <c r="C299" s="94">
        <v>1610</v>
      </c>
      <c r="D299" s="76">
        <v>805150</v>
      </c>
      <c r="E299" s="76" t="s">
        <v>89</v>
      </c>
      <c r="F299" s="76" t="s">
        <v>486</v>
      </c>
      <c r="G299" s="79">
        <v>2559.6799999999998</v>
      </c>
      <c r="H299" s="76"/>
    </row>
    <row r="300" spans="1:8" x14ac:dyDescent="0.25">
      <c r="A300" s="94">
        <v>509</v>
      </c>
      <c r="B300" s="95">
        <v>10827</v>
      </c>
      <c r="C300" s="94">
        <v>2709</v>
      </c>
      <c r="D300" s="76">
        <v>804195</v>
      </c>
      <c r="E300" s="76" t="s">
        <v>89</v>
      </c>
      <c r="F300" s="76" t="s">
        <v>487</v>
      </c>
      <c r="G300" s="79">
        <v>2378.5</v>
      </c>
      <c r="H300" s="76"/>
    </row>
    <row r="301" spans="1:8" x14ac:dyDescent="0.25">
      <c r="A301" s="94">
        <v>509</v>
      </c>
      <c r="B301" s="95">
        <v>10830</v>
      </c>
      <c r="C301" s="94">
        <v>1610</v>
      </c>
      <c r="D301" s="76">
        <v>805145</v>
      </c>
      <c r="E301" s="76" t="s">
        <v>89</v>
      </c>
      <c r="F301" s="76" t="s">
        <v>488</v>
      </c>
      <c r="G301" s="79">
        <v>738.82</v>
      </c>
      <c r="H301" s="76"/>
    </row>
    <row r="302" spans="1:8" x14ac:dyDescent="0.25">
      <c r="A302" s="94">
        <v>509</v>
      </c>
      <c r="B302" s="95">
        <v>10821</v>
      </c>
      <c r="C302" s="94">
        <v>2709</v>
      </c>
      <c r="D302" s="76">
        <v>804189</v>
      </c>
      <c r="E302" s="76" t="s">
        <v>89</v>
      </c>
      <c r="F302" s="76" t="s">
        <v>489</v>
      </c>
      <c r="G302" s="79">
        <v>531.39</v>
      </c>
      <c r="H302" s="76"/>
    </row>
    <row r="303" spans="1:8" x14ac:dyDescent="0.25">
      <c r="A303" s="94">
        <v>909</v>
      </c>
      <c r="B303" s="95">
        <v>11055</v>
      </c>
      <c r="C303" s="94">
        <v>2409</v>
      </c>
      <c r="D303" s="76">
        <v>803999</v>
      </c>
      <c r="E303" s="76" t="s">
        <v>127</v>
      </c>
      <c r="F303" s="76" t="s">
        <v>490</v>
      </c>
      <c r="G303" s="79">
        <v>1838.23</v>
      </c>
      <c r="H303" s="76"/>
    </row>
    <row r="304" spans="1:8" x14ac:dyDescent="0.25">
      <c r="A304" s="94">
        <v>909</v>
      </c>
      <c r="B304" s="95">
        <v>11095</v>
      </c>
      <c r="C304" s="94">
        <v>2709</v>
      </c>
      <c r="D304" s="76">
        <v>804199</v>
      </c>
      <c r="E304" s="76" t="s">
        <v>14</v>
      </c>
      <c r="F304" s="76" t="s">
        <v>491</v>
      </c>
      <c r="G304" s="79">
        <v>436</v>
      </c>
      <c r="H304" s="76"/>
    </row>
    <row r="305" spans="1:8" x14ac:dyDescent="0.25">
      <c r="A305" s="94">
        <v>1009</v>
      </c>
      <c r="B305" s="95">
        <v>11203</v>
      </c>
      <c r="C305" s="94">
        <v>2709</v>
      </c>
      <c r="D305" s="76">
        <v>804203</v>
      </c>
      <c r="E305" s="76" t="s">
        <v>14</v>
      </c>
      <c r="F305" s="76" t="s">
        <v>492</v>
      </c>
      <c r="G305" s="79">
        <v>59.34</v>
      </c>
      <c r="H305" s="76"/>
    </row>
    <row r="306" spans="1:8" x14ac:dyDescent="0.25">
      <c r="A306" s="94">
        <v>1009</v>
      </c>
      <c r="B306" s="95">
        <v>11204</v>
      </c>
      <c r="C306" s="94">
        <v>2709</v>
      </c>
      <c r="D306" s="76">
        <v>804207</v>
      </c>
      <c r="E306" s="76" t="s">
        <v>14</v>
      </c>
      <c r="F306" s="76" t="s">
        <v>493</v>
      </c>
      <c r="G306" s="79">
        <v>155</v>
      </c>
      <c r="H306" s="76"/>
    </row>
    <row r="307" spans="1:8" x14ac:dyDescent="0.25">
      <c r="A307" s="94">
        <v>1009</v>
      </c>
      <c r="B307" s="95">
        <v>11205</v>
      </c>
      <c r="C307" s="94">
        <v>2709</v>
      </c>
      <c r="D307" s="76">
        <v>804209</v>
      </c>
      <c r="E307" s="76" t="s">
        <v>14</v>
      </c>
      <c r="F307" s="76" t="s">
        <v>494</v>
      </c>
      <c r="G307" s="79">
        <v>185.99</v>
      </c>
      <c r="H307" s="76"/>
    </row>
    <row r="308" spans="1:8" x14ac:dyDescent="0.25">
      <c r="A308" s="94">
        <v>1009</v>
      </c>
      <c r="B308" s="95">
        <v>11207</v>
      </c>
      <c r="C308" s="94">
        <v>2709</v>
      </c>
      <c r="D308" s="76">
        <v>804201</v>
      </c>
      <c r="E308" s="76" t="s">
        <v>14</v>
      </c>
      <c r="F308" s="76" t="s">
        <v>495</v>
      </c>
      <c r="G308" s="79">
        <v>47</v>
      </c>
      <c r="H308" s="76"/>
    </row>
    <row r="309" spans="1:8" x14ac:dyDescent="0.25">
      <c r="A309" s="94">
        <v>1009</v>
      </c>
      <c r="B309" s="95">
        <v>11209</v>
      </c>
      <c r="C309" s="94">
        <v>2709</v>
      </c>
      <c r="D309" s="76">
        <v>804202</v>
      </c>
      <c r="E309" s="76" t="s">
        <v>14</v>
      </c>
      <c r="F309" s="76" t="s">
        <v>496</v>
      </c>
      <c r="G309" s="79">
        <v>24.98</v>
      </c>
      <c r="H309" s="76"/>
    </row>
    <row r="310" spans="1:8" x14ac:dyDescent="0.25">
      <c r="A310" s="94">
        <v>1009</v>
      </c>
      <c r="B310" s="95">
        <v>11211</v>
      </c>
      <c r="C310" s="94">
        <v>2709</v>
      </c>
      <c r="D310" s="76">
        <v>804204</v>
      </c>
      <c r="E310" s="76" t="s">
        <v>14</v>
      </c>
      <c r="F310" s="76" t="s">
        <v>497</v>
      </c>
      <c r="G310" s="79">
        <v>68</v>
      </c>
      <c r="H310" s="76"/>
    </row>
    <row r="311" spans="1:8" x14ac:dyDescent="0.25">
      <c r="A311" s="94">
        <v>1009</v>
      </c>
      <c r="B311" s="95">
        <v>11216</v>
      </c>
      <c r="C311" s="94">
        <v>2709</v>
      </c>
      <c r="D311" s="76">
        <v>804205</v>
      </c>
      <c r="E311" s="76" t="s">
        <v>14</v>
      </c>
      <c r="F311" s="76" t="s">
        <v>498</v>
      </c>
      <c r="G311" s="79">
        <v>33.97</v>
      </c>
      <c r="H311" s="76"/>
    </row>
    <row r="312" spans="1:8" x14ac:dyDescent="0.25">
      <c r="A312" s="94">
        <v>1009</v>
      </c>
      <c r="B312" s="95">
        <v>11218</v>
      </c>
      <c r="C312" s="94">
        <v>2709</v>
      </c>
      <c r="D312" s="76">
        <v>804206</v>
      </c>
      <c r="E312" s="76" t="s">
        <v>14</v>
      </c>
      <c r="F312" s="76" t="s">
        <v>499</v>
      </c>
      <c r="G312" s="79">
        <v>26</v>
      </c>
      <c r="H312" s="76"/>
    </row>
    <row r="313" spans="1:8" x14ac:dyDescent="0.25">
      <c r="A313" s="94">
        <v>1009</v>
      </c>
      <c r="B313" s="95">
        <v>11219</v>
      </c>
      <c r="C313" s="94">
        <v>2709</v>
      </c>
      <c r="D313" s="76">
        <v>804208</v>
      </c>
      <c r="E313" s="76" t="s">
        <v>14</v>
      </c>
      <c r="F313" s="76" t="s">
        <v>500</v>
      </c>
      <c r="G313" s="79">
        <v>14.54</v>
      </c>
      <c r="H313" s="76"/>
    </row>
    <row r="314" spans="1:8" x14ac:dyDescent="0.25">
      <c r="A314" s="94">
        <v>1009</v>
      </c>
      <c r="B314" s="95">
        <v>11220</v>
      </c>
      <c r="C314" s="94">
        <v>2709</v>
      </c>
      <c r="D314" s="76">
        <v>804210</v>
      </c>
      <c r="E314" s="76" t="s">
        <v>14</v>
      </c>
      <c r="F314" s="76" t="s">
        <v>501</v>
      </c>
      <c r="G314" s="79">
        <v>21</v>
      </c>
      <c r="H314" s="76"/>
    </row>
    <row r="315" spans="1:8" x14ac:dyDescent="0.25">
      <c r="A315" s="94">
        <v>1009</v>
      </c>
      <c r="B315" s="95">
        <v>11222</v>
      </c>
      <c r="C315" s="94">
        <v>2709</v>
      </c>
      <c r="D315" s="76">
        <v>804211</v>
      </c>
      <c r="E315" s="76" t="s">
        <v>14</v>
      </c>
      <c r="F315" s="76" t="s">
        <v>502</v>
      </c>
      <c r="G315" s="79">
        <v>48</v>
      </c>
      <c r="H315" s="76"/>
    </row>
    <row r="316" spans="1:8" x14ac:dyDescent="0.25">
      <c r="A316" s="94">
        <v>1109</v>
      </c>
      <c r="B316" s="95">
        <v>11248</v>
      </c>
      <c r="C316" s="94">
        <v>2709</v>
      </c>
      <c r="D316" s="76">
        <v>804212</v>
      </c>
      <c r="E316" s="76" t="s">
        <v>205</v>
      </c>
      <c r="F316" s="76" t="s">
        <v>503</v>
      </c>
      <c r="G316" s="79">
        <v>224.5</v>
      </c>
      <c r="H316" s="76"/>
    </row>
    <row r="317" spans="1:8" x14ac:dyDescent="0.25">
      <c r="A317" s="94">
        <v>1109</v>
      </c>
      <c r="B317" s="95">
        <v>11255</v>
      </c>
      <c r="C317" s="94">
        <v>2709</v>
      </c>
      <c r="D317" s="76">
        <v>804213</v>
      </c>
      <c r="E317" s="76" t="s">
        <v>205</v>
      </c>
      <c r="F317" s="76" t="s">
        <v>503</v>
      </c>
      <c r="G317" s="79">
        <v>21.18</v>
      </c>
      <c r="H317" s="76"/>
    </row>
    <row r="318" spans="1:8" x14ac:dyDescent="0.25">
      <c r="A318" s="94">
        <v>1109</v>
      </c>
      <c r="B318" s="95">
        <v>11258</v>
      </c>
      <c r="C318" s="94">
        <v>1309</v>
      </c>
      <c r="D318" s="76">
        <v>803713</v>
      </c>
      <c r="E318" s="76" t="s">
        <v>205</v>
      </c>
      <c r="F318" s="76" t="s">
        <v>503</v>
      </c>
      <c r="G318" s="79">
        <v>40.39</v>
      </c>
      <c r="H318" s="76"/>
    </row>
    <row r="319" spans="1:8" x14ac:dyDescent="0.25">
      <c r="A319" s="94">
        <v>1109</v>
      </c>
      <c r="B319" s="95">
        <v>11262</v>
      </c>
      <c r="C319" s="94">
        <v>2709</v>
      </c>
      <c r="D319" s="76">
        <v>804225</v>
      </c>
      <c r="E319" s="76" t="s">
        <v>205</v>
      </c>
      <c r="F319" s="76" t="s">
        <v>504</v>
      </c>
      <c r="G319" s="79">
        <v>45.72</v>
      </c>
      <c r="H319" s="76"/>
    </row>
    <row r="320" spans="1:8" x14ac:dyDescent="0.25">
      <c r="A320" s="94">
        <v>1109</v>
      </c>
      <c r="B320" s="95">
        <v>11270</v>
      </c>
      <c r="C320" s="94">
        <v>1309</v>
      </c>
      <c r="D320" s="76">
        <v>803697</v>
      </c>
      <c r="E320" s="76" t="s">
        <v>205</v>
      </c>
      <c r="F320" s="76" t="s">
        <v>504</v>
      </c>
      <c r="G320" s="79">
        <v>16.989999999999998</v>
      </c>
      <c r="H320" s="76"/>
    </row>
    <row r="321" spans="1:8" x14ac:dyDescent="0.25">
      <c r="A321" s="94">
        <v>1209</v>
      </c>
      <c r="B321" s="95">
        <v>11309</v>
      </c>
      <c r="C321" s="94">
        <v>1309</v>
      </c>
      <c r="D321" s="76">
        <v>803708</v>
      </c>
      <c r="E321" s="76" t="s">
        <v>205</v>
      </c>
      <c r="F321" s="76" t="s">
        <v>505</v>
      </c>
      <c r="G321" s="79">
        <v>30</v>
      </c>
      <c r="H321" s="76"/>
    </row>
    <row r="322" spans="1:8" x14ac:dyDescent="0.25">
      <c r="A322" s="94">
        <v>1309</v>
      </c>
      <c r="B322" s="95">
        <v>11450</v>
      </c>
      <c r="C322" s="94">
        <v>2709</v>
      </c>
      <c r="D322" s="76">
        <v>804220</v>
      </c>
      <c r="E322" s="76" t="s">
        <v>194</v>
      </c>
      <c r="F322" s="76" t="s">
        <v>463</v>
      </c>
      <c r="G322" s="79">
        <v>19.78</v>
      </c>
      <c r="H322" s="76"/>
    </row>
    <row r="323" spans="1:8" x14ac:dyDescent="0.25">
      <c r="A323" s="94">
        <v>1609</v>
      </c>
      <c r="B323" s="95">
        <v>11479</v>
      </c>
      <c r="C323" s="94">
        <v>2709</v>
      </c>
      <c r="D323" s="76">
        <v>804221</v>
      </c>
      <c r="E323" s="76" t="s">
        <v>194</v>
      </c>
      <c r="F323" s="76" t="s">
        <v>464</v>
      </c>
      <c r="G323" s="79">
        <v>126</v>
      </c>
      <c r="H323" s="76"/>
    </row>
    <row r="324" spans="1:8" x14ac:dyDescent="0.25">
      <c r="A324" s="94">
        <v>1609</v>
      </c>
      <c r="B324" s="95">
        <v>11534</v>
      </c>
      <c r="C324" s="94">
        <v>1610</v>
      </c>
      <c r="D324" s="76">
        <v>805153</v>
      </c>
      <c r="E324" s="76" t="s">
        <v>38</v>
      </c>
      <c r="F324" s="76" t="s">
        <v>506</v>
      </c>
      <c r="G324" s="79">
        <v>400</v>
      </c>
      <c r="H324" s="76"/>
    </row>
    <row r="325" spans="1:8" x14ac:dyDescent="0.25">
      <c r="A325" s="94">
        <v>1609</v>
      </c>
      <c r="B325" s="95">
        <v>11566</v>
      </c>
      <c r="C325" s="94">
        <v>1609</v>
      </c>
      <c r="D325" s="76">
        <v>803807</v>
      </c>
      <c r="E325" s="76" t="s">
        <v>205</v>
      </c>
      <c r="F325" s="76" t="s">
        <v>507</v>
      </c>
      <c r="G325" s="79">
        <v>29.2</v>
      </c>
      <c r="H325" s="76"/>
    </row>
    <row r="326" spans="1:8" x14ac:dyDescent="0.25">
      <c r="A326" s="94">
        <v>1609</v>
      </c>
      <c r="B326" s="95">
        <v>11568</v>
      </c>
      <c r="C326" s="94">
        <v>1609</v>
      </c>
      <c r="D326" s="76">
        <v>803806</v>
      </c>
      <c r="E326" s="76" t="s">
        <v>205</v>
      </c>
      <c r="F326" s="76" t="s">
        <v>507</v>
      </c>
      <c r="G326" s="79">
        <v>101.85</v>
      </c>
      <c r="H326" s="76"/>
    </row>
    <row r="327" spans="1:8" x14ac:dyDescent="0.25">
      <c r="A327" s="94">
        <v>1809</v>
      </c>
      <c r="B327" s="95">
        <v>11723</v>
      </c>
      <c r="C327" s="94">
        <v>1610</v>
      </c>
      <c r="D327" s="76">
        <v>805155</v>
      </c>
      <c r="E327" s="76" t="s">
        <v>8</v>
      </c>
      <c r="F327" s="76" t="s">
        <v>508</v>
      </c>
      <c r="G327" s="79">
        <v>628.4</v>
      </c>
      <c r="H327" s="76"/>
    </row>
    <row r="328" spans="1:8" x14ac:dyDescent="0.25">
      <c r="A328" s="94">
        <v>1809</v>
      </c>
      <c r="B328" s="95">
        <v>11724</v>
      </c>
      <c r="C328" s="94">
        <v>1610</v>
      </c>
      <c r="D328" s="76">
        <v>805181</v>
      </c>
      <c r="E328" s="76" t="s">
        <v>8</v>
      </c>
      <c r="F328" s="76" t="s">
        <v>508</v>
      </c>
      <c r="G328" s="79">
        <v>32</v>
      </c>
      <c r="H328" s="76"/>
    </row>
    <row r="329" spans="1:8" x14ac:dyDescent="0.25">
      <c r="A329" s="94">
        <v>1809</v>
      </c>
      <c r="B329" s="95">
        <v>11725</v>
      </c>
      <c r="C329" s="94">
        <v>2709</v>
      </c>
      <c r="D329" s="76">
        <v>804222</v>
      </c>
      <c r="E329" s="76" t="s">
        <v>8</v>
      </c>
      <c r="F329" s="76" t="s">
        <v>509</v>
      </c>
      <c r="G329" s="79">
        <v>739.96</v>
      </c>
      <c r="H329" s="76"/>
    </row>
    <row r="330" spans="1:8" x14ac:dyDescent="0.25">
      <c r="A330" s="94">
        <v>1809</v>
      </c>
      <c r="B330" s="95">
        <v>11726</v>
      </c>
      <c r="C330" s="94">
        <v>110</v>
      </c>
      <c r="D330" s="76">
        <v>804348</v>
      </c>
      <c r="E330" s="76" t="s">
        <v>8</v>
      </c>
      <c r="F330" s="76" t="s">
        <v>510</v>
      </c>
      <c r="G330" s="79">
        <v>23.08</v>
      </c>
      <c r="H330" s="76"/>
    </row>
    <row r="331" spans="1:8" x14ac:dyDescent="0.25">
      <c r="A331" s="94">
        <v>1809</v>
      </c>
      <c r="B331" s="95">
        <v>11727</v>
      </c>
      <c r="C331" s="94">
        <v>2709</v>
      </c>
      <c r="D331" s="76">
        <v>804226</v>
      </c>
      <c r="E331" s="76" t="s">
        <v>8</v>
      </c>
      <c r="F331" s="76" t="s">
        <v>509</v>
      </c>
      <c r="G331" s="79">
        <v>154</v>
      </c>
      <c r="H331" s="76"/>
    </row>
    <row r="332" spans="1:8" x14ac:dyDescent="0.25">
      <c r="A332" s="94">
        <v>1809</v>
      </c>
      <c r="B332" s="95">
        <v>11728</v>
      </c>
      <c r="C332" s="94">
        <v>1610</v>
      </c>
      <c r="D332" s="76">
        <v>805182</v>
      </c>
      <c r="E332" s="76" t="s">
        <v>8</v>
      </c>
      <c r="F332" s="76" t="s">
        <v>508</v>
      </c>
      <c r="G332" s="79">
        <v>1122</v>
      </c>
      <c r="H332" s="76"/>
    </row>
    <row r="333" spans="1:8" x14ac:dyDescent="0.25">
      <c r="A333" s="94">
        <v>1809</v>
      </c>
      <c r="B333" s="95">
        <v>11750</v>
      </c>
      <c r="C333" s="94">
        <v>2709</v>
      </c>
      <c r="D333" s="76">
        <v>804227</v>
      </c>
      <c r="E333" s="76" t="s">
        <v>89</v>
      </c>
      <c r="F333" s="76" t="s">
        <v>511</v>
      </c>
      <c r="G333" s="79">
        <v>59.34</v>
      </c>
      <c r="H333" s="76"/>
    </row>
    <row r="334" spans="1:8" x14ac:dyDescent="0.25">
      <c r="A334" s="94">
        <v>1909</v>
      </c>
      <c r="B334" s="95">
        <v>11786</v>
      </c>
      <c r="C334" s="94">
        <v>2309</v>
      </c>
      <c r="D334" s="76">
        <v>401687</v>
      </c>
      <c r="E334" s="76" t="s">
        <v>127</v>
      </c>
      <c r="F334" s="76" t="s">
        <v>512</v>
      </c>
      <c r="G334" s="79">
        <v>13500</v>
      </c>
      <c r="H334" s="76"/>
    </row>
    <row r="335" spans="1:8" x14ac:dyDescent="0.25">
      <c r="A335" s="94">
        <v>2309</v>
      </c>
      <c r="B335" s="95">
        <v>11844</v>
      </c>
      <c r="C335" s="94">
        <v>1610</v>
      </c>
      <c r="D335" s="76">
        <v>805156</v>
      </c>
      <c r="E335" s="76" t="s">
        <v>194</v>
      </c>
      <c r="F335" s="76" t="s">
        <v>513</v>
      </c>
      <c r="G335" s="79">
        <v>36.53</v>
      </c>
      <c r="H335" s="76"/>
    </row>
    <row r="336" spans="1:8" x14ac:dyDescent="0.25">
      <c r="A336" s="94">
        <v>2309</v>
      </c>
      <c r="B336" s="95">
        <v>11845</v>
      </c>
      <c r="C336" s="94">
        <v>1610</v>
      </c>
      <c r="D336" s="76">
        <v>805183</v>
      </c>
      <c r="E336" s="76" t="s">
        <v>194</v>
      </c>
      <c r="F336" s="76" t="s">
        <v>513</v>
      </c>
      <c r="G336" s="79">
        <v>79</v>
      </c>
      <c r="H336" s="76"/>
    </row>
    <row r="337" spans="1:8" x14ac:dyDescent="0.25">
      <c r="A337" s="94">
        <v>2309</v>
      </c>
      <c r="B337" s="95">
        <v>11848</v>
      </c>
      <c r="C337" s="94">
        <v>1610</v>
      </c>
      <c r="D337" s="76">
        <v>805185</v>
      </c>
      <c r="E337" s="76" t="s">
        <v>194</v>
      </c>
      <c r="F337" s="76" t="s">
        <v>513</v>
      </c>
      <c r="G337" s="79">
        <v>280</v>
      </c>
      <c r="H337" s="76"/>
    </row>
    <row r="338" spans="1:8" x14ac:dyDescent="0.25">
      <c r="A338" s="94">
        <v>2309</v>
      </c>
      <c r="B338" s="95">
        <v>11851</v>
      </c>
      <c r="C338" s="94">
        <v>1610</v>
      </c>
      <c r="D338" s="76">
        <v>805158</v>
      </c>
      <c r="E338" s="76" t="s">
        <v>194</v>
      </c>
      <c r="F338" s="76" t="s">
        <v>514</v>
      </c>
      <c r="G338" s="79">
        <v>232.12</v>
      </c>
      <c r="H338" s="76"/>
    </row>
    <row r="339" spans="1:8" x14ac:dyDescent="0.25">
      <c r="A339" s="94">
        <v>2309</v>
      </c>
      <c r="B339" s="95">
        <v>11853</v>
      </c>
      <c r="C339" s="94">
        <v>1610</v>
      </c>
      <c r="D339" s="76">
        <v>805186</v>
      </c>
      <c r="E339" s="76" t="s">
        <v>194</v>
      </c>
      <c r="F339" s="76" t="s">
        <v>514</v>
      </c>
      <c r="G339" s="79">
        <v>17.399999999999995</v>
      </c>
      <c r="H339" s="76"/>
    </row>
    <row r="340" spans="1:8" x14ac:dyDescent="0.25">
      <c r="A340" s="94">
        <v>2309</v>
      </c>
      <c r="B340" s="95">
        <v>11860</v>
      </c>
      <c r="C340" s="94">
        <v>1610</v>
      </c>
      <c r="D340" s="76">
        <v>805187</v>
      </c>
      <c r="E340" s="76" t="s">
        <v>194</v>
      </c>
      <c r="F340" s="76" t="s">
        <v>515</v>
      </c>
      <c r="G340" s="79">
        <v>315</v>
      </c>
      <c r="H340" s="76"/>
    </row>
    <row r="341" spans="1:8" x14ac:dyDescent="0.25">
      <c r="A341" s="94">
        <v>2309</v>
      </c>
      <c r="B341" s="95">
        <v>11870</v>
      </c>
      <c r="C341" s="94">
        <v>2709</v>
      </c>
      <c r="D341" s="76">
        <v>804233</v>
      </c>
      <c r="E341" s="76" t="s">
        <v>194</v>
      </c>
      <c r="F341" s="76" t="s">
        <v>516</v>
      </c>
      <c r="G341" s="79">
        <v>970</v>
      </c>
      <c r="H341" s="76"/>
    </row>
    <row r="342" spans="1:8" x14ac:dyDescent="0.25">
      <c r="A342" s="94">
        <v>2309</v>
      </c>
      <c r="B342" s="95">
        <v>11872</v>
      </c>
      <c r="C342" s="94">
        <v>2709</v>
      </c>
      <c r="D342" s="76">
        <v>804235</v>
      </c>
      <c r="E342" s="76" t="s">
        <v>194</v>
      </c>
      <c r="F342" s="76" t="s">
        <v>517</v>
      </c>
      <c r="G342" s="79">
        <v>105.5</v>
      </c>
      <c r="H342" s="76"/>
    </row>
    <row r="343" spans="1:8" x14ac:dyDescent="0.25">
      <c r="A343" s="94">
        <v>2309</v>
      </c>
      <c r="B343" s="95">
        <v>11877</v>
      </c>
      <c r="C343" s="94">
        <v>2709</v>
      </c>
      <c r="D343" s="76">
        <v>804236</v>
      </c>
      <c r="E343" s="76" t="s">
        <v>194</v>
      </c>
      <c r="F343" s="76" t="s">
        <v>518</v>
      </c>
      <c r="G343" s="79">
        <v>286.60000000000002</v>
      </c>
      <c r="H343" s="76"/>
    </row>
    <row r="344" spans="1:8" x14ac:dyDescent="0.25">
      <c r="A344" s="94">
        <v>2309</v>
      </c>
      <c r="B344" s="95">
        <v>11878</v>
      </c>
      <c r="C344" s="94">
        <v>2709</v>
      </c>
      <c r="D344" s="76">
        <v>804238</v>
      </c>
      <c r="E344" s="76" t="s">
        <v>194</v>
      </c>
      <c r="F344" s="76" t="s">
        <v>519</v>
      </c>
      <c r="G344" s="79">
        <v>39.5</v>
      </c>
      <c r="H344" s="76"/>
    </row>
    <row r="345" spans="1:8" x14ac:dyDescent="0.25">
      <c r="A345" s="94">
        <v>2409</v>
      </c>
      <c r="B345" s="95">
        <v>11945</v>
      </c>
      <c r="C345" s="94">
        <v>2709</v>
      </c>
      <c r="D345" s="76">
        <v>804240</v>
      </c>
      <c r="E345" s="76" t="s">
        <v>205</v>
      </c>
      <c r="F345" s="76" t="s">
        <v>505</v>
      </c>
      <c r="G345" s="79">
        <v>24.63</v>
      </c>
      <c r="H345" s="76"/>
    </row>
    <row r="346" spans="1:8" x14ac:dyDescent="0.25">
      <c r="A346" s="94">
        <v>2409</v>
      </c>
      <c r="B346" s="95">
        <v>11947</v>
      </c>
      <c r="C346" s="94">
        <v>2709</v>
      </c>
      <c r="D346" s="76">
        <v>804242</v>
      </c>
      <c r="E346" s="76" t="s">
        <v>205</v>
      </c>
      <c r="F346" s="76" t="s">
        <v>505</v>
      </c>
      <c r="G346" s="79">
        <v>71</v>
      </c>
      <c r="H346" s="76"/>
    </row>
    <row r="347" spans="1:8" x14ac:dyDescent="0.25">
      <c r="A347" s="94">
        <v>2409</v>
      </c>
      <c r="B347" s="95">
        <v>11914</v>
      </c>
      <c r="C347" s="94">
        <v>2709</v>
      </c>
      <c r="D347" s="76">
        <v>804244</v>
      </c>
      <c r="E347" s="76" t="s">
        <v>8</v>
      </c>
      <c r="F347" s="76" t="s">
        <v>520</v>
      </c>
      <c r="G347" s="79">
        <v>118.76</v>
      </c>
      <c r="H347" s="76"/>
    </row>
    <row r="348" spans="1:8" x14ac:dyDescent="0.25">
      <c r="A348" s="94">
        <v>2409</v>
      </c>
      <c r="B348" s="95">
        <v>11917</v>
      </c>
      <c r="C348" s="94">
        <v>2709</v>
      </c>
      <c r="D348" s="76">
        <v>804246</v>
      </c>
      <c r="E348" s="76" t="s">
        <v>8</v>
      </c>
      <c r="F348" s="76" t="s">
        <v>520</v>
      </c>
      <c r="G348" s="79">
        <v>459.8</v>
      </c>
      <c r="H348" s="76"/>
    </row>
    <row r="349" spans="1:8" x14ac:dyDescent="0.25">
      <c r="A349" s="94">
        <v>2409</v>
      </c>
      <c r="B349" s="95">
        <v>11918</v>
      </c>
      <c r="C349" s="94">
        <v>3009</v>
      </c>
      <c r="D349" s="76">
        <v>804258</v>
      </c>
      <c r="E349" s="76" t="s">
        <v>194</v>
      </c>
      <c r="F349" s="76" t="s">
        <v>521</v>
      </c>
      <c r="G349" s="79">
        <v>11.5</v>
      </c>
      <c r="H349" s="76"/>
    </row>
    <row r="350" spans="1:8" x14ac:dyDescent="0.25">
      <c r="A350" s="94">
        <v>2409</v>
      </c>
      <c r="B350" s="95">
        <v>11919</v>
      </c>
      <c r="C350" s="94">
        <v>2709</v>
      </c>
      <c r="D350" s="76">
        <v>804230</v>
      </c>
      <c r="E350" s="76" t="s">
        <v>8</v>
      </c>
      <c r="F350" s="76" t="s">
        <v>520</v>
      </c>
      <c r="G350" s="79">
        <v>26.25</v>
      </c>
      <c r="H350" s="76"/>
    </row>
    <row r="351" spans="1:8" x14ac:dyDescent="0.25">
      <c r="A351" s="94">
        <v>2409</v>
      </c>
      <c r="B351" s="95">
        <v>11920</v>
      </c>
      <c r="C351" s="94">
        <v>2709</v>
      </c>
      <c r="D351" s="76">
        <v>804231</v>
      </c>
      <c r="E351" s="76" t="s">
        <v>8</v>
      </c>
      <c r="F351" s="76" t="s">
        <v>520</v>
      </c>
      <c r="G351" s="79">
        <v>18</v>
      </c>
      <c r="H351" s="76"/>
    </row>
    <row r="352" spans="1:8" x14ac:dyDescent="0.25">
      <c r="A352" s="94">
        <v>2409</v>
      </c>
      <c r="B352" s="95">
        <v>11921</v>
      </c>
      <c r="C352" s="94">
        <v>2709</v>
      </c>
      <c r="D352" s="76">
        <v>804232</v>
      </c>
      <c r="E352" s="76" t="s">
        <v>8</v>
      </c>
      <c r="F352" s="76" t="s">
        <v>520</v>
      </c>
      <c r="G352" s="79">
        <v>98</v>
      </c>
      <c r="H352" s="76"/>
    </row>
    <row r="353" spans="1:8" x14ac:dyDescent="0.25">
      <c r="A353" s="94">
        <v>2409</v>
      </c>
      <c r="B353" s="95">
        <v>11922</v>
      </c>
      <c r="C353" s="94">
        <v>2709</v>
      </c>
      <c r="D353" s="76">
        <v>804237</v>
      </c>
      <c r="E353" s="76" t="s">
        <v>194</v>
      </c>
      <c r="F353" s="76" t="s">
        <v>521</v>
      </c>
      <c r="G353" s="79">
        <v>62.79</v>
      </c>
      <c r="H353" s="76"/>
    </row>
    <row r="354" spans="1:8" x14ac:dyDescent="0.25">
      <c r="A354" s="94">
        <v>2409</v>
      </c>
      <c r="B354" s="95">
        <v>11923</v>
      </c>
      <c r="C354" s="94">
        <v>2709</v>
      </c>
      <c r="D354" s="76">
        <v>804239</v>
      </c>
      <c r="E354" s="76" t="s">
        <v>8</v>
      </c>
      <c r="F354" s="76" t="s">
        <v>520</v>
      </c>
      <c r="G354" s="79">
        <v>35.67</v>
      </c>
      <c r="H354" s="76"/>
    </row>
    <row r="355" spans="1:8" x14ac:dyDescent="0.25">
      <c r="A355" s="94">
        <v>2409</v>
      </c>
      <c r="B355" s="95">
        <v>11924</v>
      </c>
      <c r="C355" s="94">
        <v>1610</v>
      </c>
      <c r="D355" s="76">
        <v>805189</v>
      </c>
      <c r="E355" s="76" t="s">
        <v>8</v>
      </c>
      <c r="F355" s="76" t="s">
        <v>522</v>
      </c>
      <c r="G355" s="79">
        <v>635.5</v>
      </c>
      <c r="H355" s="76"/>
    </row>
    <row r="356" spans="1:8" x14ac:dyDescent="0.25">
      <c r="A356" s="94">
        <v>2409</v>
      </c>
      <c r="B356" s="95">
        <v>11925</v>
      </c>
      <c r="C356" s="94">
        <v>2709</v>
      </c>
      <c r="D356" s="76">
        <v>804234</v>
      </c>
      <c r="E356" s="76" t="s">
        <v>194</v>
      </c>
      <c r="F356" s="76" t="s">
        <v>521</v>
      </c>
      <c r="G356" s="79">
        <v>55.47</v>
      </c>
      <c r="H356" s="76"/>
    </row>
    <row r="357" spans="1:8" x14ac:dyDescent="0.25">
      <c r="A357" s="94">
        <v>2409</v>
      </c>
      <c r="B357" s="95">
        <v>11926</v>
      </c>
      <c r="C357" s="94">
        <v>2709</v>
      </c>
      <c r="D357" s="76">
        <v>804241</v>
      </c>
      <c r="E357" s="76" t="s">
        <v>8</v>
      </c>
      <c r="F357" s="76" t="s">
        <v>523</v>
      </c>
      <c r="G357" s="79">
        <v>175.19999999999996</v>
      </c>
      <c r="H357" s="76"/>
    </row>
    <row r="358" spans="1:8" x14ac:dyDescent="0.25">
      <c r="A358" s="94">
        <v>2409</v>
      </c>
      <c r="B358" s="95">
        <v>11927</v>
      </c>
      <c r="C358" s="94">
        <v>1610</v>
      </c>
      <c r="D358" s="76">
        <v>805192</v>
      </c>
      <c r="E358" s="76" t="s">
        <v>8</v>
      </c>
      <c r="F358" s="76" t="s">
        <v>522</v>
      </c>
      <c r="G358" s="79">
        <v>114</v>
      </c>
      <c r="H358" s="76"/>
    </row>
    <row r="359" spans="1:8" x14ac:dyDescent="0.25">
      <c r="A359" s="94">
        <v>2409</v>
      </c>
      <c r="B359" s="95">
        <v>11930</v>
      </c>
      <c r="C359" s="94">
        <v>2709</v>
      </c>
      <c r="D359" s="76">
        <v>804247</v>
      </c>
      <c r="E359" s="76" t="s">
        <v>194</v>
      </c>
      <c r="F359" s="76" t="s">
        <v>521</v>
      </c>
      <c r="G359" s="79">
        <v>16</v>
      </c>
      <c r="H359" s="76"/>
    </row>
    <row r="360" spans="1:8" x14ac:dyDescent="0.25">
      <c r="A360" s="94">
        <v>2409</v>
      </c>
      <c r="B360" s="95">
        <v>11931</v>
      </c>
      <c r="C360" s="94">
        <v>2709</v>
      </c>
      <c r="D360" s="76">
        <v>804252</v>
      </c>
      <c r="E360" s="76" t="s">
        <v>194</v>
      </c>
      <c r="F360" s="76" t="s">
        <v>521</v>
      </c>
      <c r="G360" s="79">
        <v>94.07</v>
      </c>
      <c r="H360" s="76"/>
    </row>
    <row r="361" spans="1:8" x14ac:dyDescent="0.25">
      <c r="A361" s="94">
        <v>2409</v>
      </c>
      <c r="B361" s="95">
        <v>11932</v>
      </c>
      <c r="C361" s="94">
        <v>2709</v>
      </c>
      <c r="D361" s="76">
        <v>804253</v>
      </c>
      <c r="E361" s="76" t="s">
        <v>194</v>
      </c>
      <c r="F361" s="76" t="s">
        <v>521</v>
      </c>
      <c r="G361" s="79">
        <v>45.25</v>
      </c>
      <c r="H361" s="76"/>
    </row>
    <row r="362" spans="1:8" x14ac:dyDescent="0.25">
      <c r="A362" s="94">
        <v>2409</v>
      </c>
      <c r="B362" s="95">
        <v>11933</v>
      </c>
      <c r="C362" s="94">
        <v>2709</v>
      </c>
      <c r="D362" s="76">
        <v>804254</v>
      </c>
      <c r="E362" s="76" t="s">
        <v>194</v>
      </c>
      <c r="F362" s="76" t="s">
        <v>524</v>
      </c>
      <c r="G362" s="79">
        <v>378.57</v>
      </c>
      <c r="H362" s="76"/>
    </row>
    <row r="363" spans="1:8" x14ac:dyDescent="0.25">
      <c r="A363" s="94">
        <v>2409</v>
      </c>
      <c r="B363" s="95">
        <v>11934</v>
      </c>
      <c r="C363" s="94">
        <v>2709</v>
      </c>
      <c r="D363" s="76">
        <v>804255</v>
      </c>
      <c r="E363" s="76" t="s">
        <v>194</v>
      </c>
      <c r="F363" s="76" t="s">
        <v>524</v>
      </c>
      <c r="G363" s="79">
        <v>100</v>
      </c>
      <c r="H363" s="76"/>
    </row>
    <row r="364" spans="1:8" x14ac:dyDescent="0.25">
      <c r="A364" s="94">
        <v>2609</v>
      </c>
      <c r="B364" s="95">
        <v>12263</v>
      </c>
      <c r="C364" s="94">
        <v>2709</v>
      </c>
      <c r="D364" s="76">
        <v>401476</v>
      </c>
      <c r="E364" s="76" t="s">
        <v>127</v>
      </c>
      <c r="F364" s="76" t="s">
        <v>525</v>
      </c>
      <c r="G364" s="79">
        <v>14430</v>
      </c>
      <c r="H364" s="76"/>
    </row>
    <row r="365" spans="1:8" x14ac:dyDescent="0.25">
      <c r="A365" s="94">
        <v>2609</v>
      </c>
      <c r="B365" s="95">
        <v>12136</v>
      </c>
      <c r="C365" s="94">
        <v>1610</v>
      </c>
      <c r="D365" s="76">
        <v>805193</v>
      </c>
      <c r="E365" s="76" t="s">
        <v>8</v>
      </c>
      <c r="F365" s="76" t="s">
        <v>522</v>
      </c>
      <c r="G365" s="79">
        <v>710.2</v>
      </c>
      <c r="H365" s="76"/>
    </row>
    <row r="366" spans="1:8" x14ac:dyDescent="0.25">
      <c r="A366" s="94">
        <v>2609</v>
      </c>
      <c r="B366" s="95">
        <v>12138</v>
      </c>
      <c r="C366" s="94">
        <v>1610</v>
      </c>
      <c r="D366" s="76">
        <v>805194</v>
      </c>
      <c r="E366" s="76" t="s">
        <v>8</v>
      </c>
      <c r="F366" s="76" t="s">
        <v>522</v>
      </c>
      <c r="G366" s="79">
        <v>21.25</v>
      </c>
      <c r="H366" s="76"/>
    </row>
    <row r="367" spans="1:8" x14ac:dyDescent="0.25">
      <c r="A367" s="94">
        <v>2609</v>
      </c>
      <c r="B367" s="95">
        <v>12139</v>
      </c>
      <c r="C367" s="94">
        <v>1610</v>
      </c>
      <c r="D367" s="76">
        <v>805195</v>
      </c>
      <c r="E367" s="76" t="s">
        <v>8</v>
      </c>
      <c r="F367" s="76" t="s">
        <v>522</v>
      </c>
      <c r="G367" s="79">
        <v>70.680000000000007</v>
      </c>
      <c r="H367" s="76"/>
    </row>
    <row r="368" spans="1:8" x14ac:dyDescent="0.25">
      <c r="A368" s="94">
        <v>2609</v>
      </c>
      <c r="B368" s="95">
        <v>12140</v>
      </c>
      <c r="C368" s="94">
        <v>1610</v>
      </c>
      <c r="D368" s="76">
        <v>805196</v>
      </c>
      <c r="E368" s="76" t="s">
        <v>393</v>
      </c>
      <c r="F368" s="76" t="s">
        <v>62</v>
      </c>
      <c r="G368" s="79">
        <v>78.269999999999982</v>
      </c>
      <c r="H368" s="76"/>
    </row>
    <row r="369" spans="1:8" x14ac:dyDescent="0.25">
      <c r="A369" s="94">
        <v>2609</v>
      </c>
      <c r="B369" s="95">
        <v>12141</v>
      </c>
      <c r="C369" s="94">
        <v>1610</v>
      </c>
      <c r="D369" s="76">
        <v>805197</v>
      </c>
      <c r="E369" s="76" t="s">
        <v>393</v>
      </c>
      <c r="F369" s="76" t="s">
        <v>62</v>
      </c>
      <c r="G369" s="79">
        <v>200</v>
      </c>
      <c r="H369" s="76"/>
    </row>
    <row r="370" spans="1:8" x14ac:dyDescent="0.25">
      <c r="A370" s="94">
        <v>2609</v>
      </c>
      <c r="B370" s="95">
        <v>12142</v>
      </c>
      <c r="C370" s="94">
        <v>1610</v>
      </c>
      <c r="D370" s="76">
        <v>805160</v>
      </c>
      <c r="E370" s="76" t="s">
        <v>393</v>
      </c>
      <c r="F370" s="76" t="s">
        <v>62</v>
      </c>
      <c r="G370" s="79">
        <v>492.42</v>
      </c>
      <c r="H370" s="76"/>
    </row>
    <row r="371" spans="1:8" x14ac:dyDescent="0.25">
      <c r="A371" s="94">
        <v>2609</v>
      </c>
      <c r="B371" s="95">
        <v>12144</v>
      </c>
      <c r="C371" s="94">
        <v>1610</v>
      </c>
      <c r="D371" s="76">
        <v>805164</v>
      </c>
      <c r="E371" s="76" t="s">
        <v>393</v>
      </c>
      <c r="F371" s="76" t="s">
        <v>62</v>
      </c>
      <c r="G371" s="79">
        <v>527.82000000000005</v>
      </c>
      <c r="H371" s="76"/>
    </row>
    <row r="372" spans="1:8" x14ac:dyDescent="0.25">
      <c r="A372" s="94">
        <v>2609</v>
      </c>
      <c r="B372" s="95">
        <v>12145</v>
      </c>
      <c r="C372" s="94">
        <v>1610</v>
      </c>
      <c r="D372" s="76">
        <v>805198</v>
      </c>
      <c r="E372" s="76" t="s">
        <v>393</v>
      </c>
      <c r="F372" s="76" t="s">
        <v>526</v>
      </c>
      <c r="G372" s="79">
        <v>18</v>
      </c>
      <c r="H372" s="76"/>
    </row>
    <row r="373" spans="1:8" x14ac:dyDescent="0.25">
      <c r="A373" s="94">
        <v>2609</v>
      </c>
      <c r="B373" s="95">
        <v>12146</v>
      </c>
      <c r="C373" s="94">
        <v>1610</v>
      </c>
      <c r="D373" s="76">
        <v>805168</v>
      </c>
      <c r="E373" s="76" t="s">
        <v>393</v>
      </c>
      <c r="F373" s="76" t="s">
        <v>526</v>
      </c>
      <c r="G373" s="79">
        <v>284.48</v>
      </c>
      <c r="H373" s="76"/>
    </row>
    <row r="374" spans="1:8" x14ac:dyDescent="0.25">
      <c r="A374" s="94">
        <v>2709</v>
      </c>
      <c r="B374" s="95">
        <v>12335</v>
      </c>
      <c r="C374" s="94">
        <v>1610</v>
      </c>
      <c r="D374" s="76">
        <v>805199</v>
      </c>
      <c r="E374" s="76" t="s">
        <v>8</v>
      </c>
      <c r="F374" s="76" t="s">
        <v>527</v>
      </c>
      <c r="G374" s="79">
        <v>19.11</v>
      </c>
      <c r="H374" s="76"/>
    </row>
    <row r="375" spans="1:8" x14ac:dyDescent="0.25">
      <c r="A375" s="94">
        <v>2709</v>
      </c>
      <c r="B375" s="95">
        <v>12337</v>
      </c>
      <c r="C375" s="94">
        <v>1610</v>
      </c>
      <c r="D375" s="76">
        <v>805200</v>
      </c>
      <c r="E375" s="76" t="s">
        <v>8</v>
      </c>
      <c r="F375" s="76" t="s">
        <v>527</v>
      </c>
      <c r="G375" s="79">
        <v>13.25</v>
      </c>
      <c r="H375" s="76"/>
    </row>
    <row r="376" spans="1:8" x14ac:dyDescent="0.25">
      <c r="A376" s="94">
        <v>2709</v>
      </c>
      <c r="B376" s="95">
        <v>12338</v>
      </c>
      <c r="C376" s="94">
        <v>1610</v>
      </c>
      <c r="D376" s="76">
        <v>805201</v>
      </c>
      <c r="E376" s="76" t="s">
        <v>8</v>
      </c>
      <c r="F376" s="76" t="s">
        <v>528</v>
      </c>
      <c r="G376" s="79">
        <v>219</v>
      </c>
      <c r="H376" s="76"/>
    </row>
    <row r="377" spans="1:8" x14ac:dyDescent="0.25">
      <c r="A377" s="94">
        <v>2709</v>
      </c>
      <c r="B377" s="95">
        <v>12340</v>
      </c>
      <c r="C377" s="94">
        <v>1610</v>
      </c>
      <c r="D377" s="76">
        <v>805202</v>
      </c>
      <c r="E377" s="76" t="s">
        <v>8</v>
      </c>
      <c r="F377" s="76" t="s">
        <v>527</v>
      </c>
      <c r="G377" s="79">
        <v>56</v>
      </c>
      <c r="H377" s="76"/>
    </row>
    <row r="378" spans="1:8" x14ac:dyDescent="0.25">
      <c r="A378" s="94">
        <v>2709</v>
      </c>
      <c r="B378" s="95">
        <v>12343</v>
      </c>
      <c r="C378" s="94">
        <v>1610</v>
      </c>
      <c r="D378" s="76">
        <v>805203</v>
      </c>
      <c r="E378" s="76" t="s">
        <v>8</v>
      </c>
      <c r="F378" s="76" t="s">
        <v>528</v>
      </c>
      <c r="G378" s="79">
        <v>209.1</v>
      </c>
      <c r="H378" s="76"/>
    </row>
    <row r="379" spans="1:8" x14ac:dyDescent="0.25">
      <c r="A379" s="94">
        <v>2709</v>
      </c>
      <c r="B379" s="95">
        <v>12348</v>
      </c>
      <c r="C379" s="94">
        <v>1610</v>
      </c>
      <c r="D379" s="76">
        <v>805171</v>
      </c>
      <c r="E379" s="76" t="s">
        <v>8</v>
      </c>
      <c r="F379" s="76" t="s">
        <v>528</v>
      </c>
      <c r="G379" s="79">
        <v>437.82</v>
      </c>
      <c r="H379" s="76"/>
    </row>
    <row r="380" spans="1:8" x14ac:dyDescent="0.25">
      <c r="A380" s="94">
        <v>2709</v>
      </c>
      <c r="B380" s="95">
        <v>12356</v>
      </c>
      <c r="C380" s="94">
        <v>1610</v>
      </c>
      <c r="D380" s="76">
        <v>805204</v>
      </c>
      <c r="E380" s="76" t="s">
        <v>8</v>
      </c>
      <c r="F380" s="76" t="s">
        <v>527</v>
      </c>
      <c r="G380" s="79">
        <v>165.02</v>
      </c>
      <c r="H380" s="76"/>
    </row>
    <row r="381" spans="1:8" x14ac:dyDescent="0.25">
      <c r="A381" s="94">
        <v>2709</v>
      </c>
      <c r="B381" s="95">
        <v>12362</v>
      </c>
      <c r="C381" s="94">
        <v>1710</v>
      </c>
      <c r="D381" s="76">
        <v>805241</v>
      </c>
      <c r="E381" s="76" t="s">
        <v>8</v>
      </c>
      <c r="F381" s="76" t="s">
        <v>527</v>
      </c>
      <c r="G381" s="79">
        <v>450.56</v>
      </c>
      <c r="H381" s="76"/>
    </row>
    <row r="382" spans="1:8" x14ac:dyDescent="0.25">
      <c r="A382" s="94">
        <v>2709</v>
      </c>
      <c r="B382" s="95">
        <v>12367</v>
      </c>
      <c r="C382" s="94">
        <v>1610</v>
      </c>
      <c r="D382" s="76">
        <v>805205</v>
      </c>
      <c r="E382" s="76" t="s">
        <v>8</v>
      </c>
      <c r="F382" s="76" t="s">
        <v>527</v>
      </c>
      <c r="G382" s="79">
        <v>124.8</v>
      </c>
      <c r="H382" s="76"/>
    </row>
    <row r="383" spans="1:8" x14ac:dyDescent="0.25">
      <c r="A383" s="94">
        <v>2709</v>
      </c>
      <c r="B383" s="95">
        <v>12372</v>
      </c>
      <c r="C383" s="94">
        <v>1710</v>
      </c>
      <c r="D383" s="76">
        <v>805242</v>
      </c>
      <c r="E383" s="76" t="s">
        <v>8</v>
      </c>
      <c r="F383" s="76" t="s">
        <v>529</v>
      </c>
      <c r="G383" s="79">
        <v>530</v>
      </c>
      <c r="H383" s="76"/>
    </row>
    <row r="384" spans="1:8" x14ac:dyDescent="0.25">
      <c r="A384" s="94">
        <v>2709</v>
      </c>
      <c r="B384" s="95">
        <v>12377</v>
      </c>
      <c r="C384" s="94">
        <v>1610</v>
      </c>
      <c r="D384" s="76">
        <v>805143</v>
      </c>
      <c r="E384" s="76" t="s">
        <v>194</v>
      </c>
      <c r="F384" s="76" t="s">
        <v>530</v>
      </c>
      <c r="G384" s="79">
        <v>27.2</v>
      </c>
      <c r="H384" s="76"/>
    </row>
    <row r="385" spans="1:8" x14ac:dyDescent="0.25">
      <c r="A385" s="94">
        <v>2709</v>
      </c>
      <c r="B385" s="95">
        <v>12378</v>
      </c>
      <c r="C385" s="94">
        <v>1610</v>
      </c>
      <c r="D385" s="76">
        <v>805144</v>
      </c>
      <c r="E385" s="76" t="s">
        <v>8</v>
      </c>
      <c r="F385" s="76" t="s">
        <v>528</v>
      </c>
      <c r="G385" s="79">
        <v>210</v>
      </c>
      <c r="H385" s="76"/>
    </row>
    <row r="386" spans="1:8" x14ac:dyDescent="0.25">
      <c r="A386" s="94">
        <v>2709</v>
      </c>
      <c r="B386" s="95">
        <v>12381</v>
      </c>
      <c r="C386" s="94">
        <v>1610</v>
      </c>
      <c r="D386" s="76">
        <v>805146</v>
      </c>
      <c r="E386" s="76" t="s">
        <v>8</v>
      </c>
      <c r="F386" s="76" t="s">
        <v>527</v>
      </c>
      <c r="G386" s="79">
        <v>299.74</v>
      </c>
      <c r="H386" s="76"/>
    </row>
    <row r="387" spans="1:8" x14ac:dyDescent="0.25">
      <c r="A387" s="94">
        <v>2709</v>
      </c>
      <c r="B387" s="95">
        <v>12389</v>
      </c>
      <c r="C387" s="94">
        <v>1610</v>
      </c>
      <c r="D387" s="76">
        <v>805147</v>
      </c>
      <c r="E387" s="76" t="s">
        <v>8</v>
      </c>
      <c r="F387" s="76" t="s">
        <v>531</v>
      </c>
      <c r="G387" s="79">
        <v>14.94</v>
      </c>
      <c r="H387" s="76"/>
    </row>
    <row r="388" spans="1:8" x14ac:dyDescent="0.25">
      <c r="A388" s="94">
        <v>2709</v>
      </c>
      <c r="B388" s="95">
        <v>12440</v>
      </c>
      <c r="C388" s="94">
        <v>1610</v>
      </c>
      <c r="D388" s="76">
        <v>805149</v>
      </c>
      <c r="E388" s="76" t="s">
        <v>8</v>
      </c>
      <c r="F388" s="76" t="s">
        <v>532</v>
      </c>
      <c r="G388" s="79">
        <v>123.6</v>
      </c>
      <c r="H388" s="76"/>
    </row>
    <row r="389" spans="1:8" x14ac:dyDescent="0.25">
      <c r="A389" s="94">
        <v>2709</v>
      </c>
      <c r="B389" s="95">
        <v>12442</v>
      </c>
      <c r="C389" s="94">
        <v>1610</v>
      </c>
      <c r="D389" s="76">
        <v>805151</v>
      </c>
      <c r="E389" s="76" t="s">
        <v>8</v>
      </c>
      <c r="F389" s="76" t="s">
        <v>532</v>
      </c>
      <c r="G389" s="79">
        <v>349.72</v>
      </c>
      <c r="H389" s="76"/>
    </row>
    <row r="390" spans="1:8" x14ac:dyDescent="0.25">
      <c r="A390" s="94">
        <v>2709</v>
      </c>
      <c r="B390" s="95">
        <v>12444</v>
      </c>
      <c r="C390" s="94">
        <v>1610</v>
      </c>
      <c r="D390" s="76">
        <v>805152</v>
      </c>
      <c r="E390" s="76" t="s">
        <v>8</v>
      </c>
      <c r="F390" s="76" t="s">
        <v>532</v>
      </c>
      <c r="G390" s="79">
        <v>150</v>
      </c>
      <c r="H390" s="76"/>
    </row>
    <row r="391" spans="1:8" x14ac:dyDescent="0.25">
      <c r="A391" s="94">
        <v>2709</v>
      </c>
      <c r="B391" s="95">
        <v>12445</v>
      </c>
      <c r="C391" s="94">
        <v>1710</v>
      </c>
      <c r="D391" s="76">
        <v>805244</v>
      </c>
      <c r="E391" s="76" t="s">
        <v>8</v>
      </c>
      <c r="F391" s="76" t="s">
        <v>533</v>
      </c>
      <c r="G391" s="79">
        <v>1145.54</v>
      </c>
      <c r="H391" s="76"/>
    </row>
    <row r="392" spans="1:8" x14ac:dyDescent="0.25">
      <c r="A392" s="94">
        <v>2709</v>
      </c>
      <c r="B392" s="95">
        <v>12447</v>
      </c>
      <c r="C392" s="94">
        <v>1710</v>
      </c>
      <c r="D392" s="76">
        <v>805243</v>
      </c>
      <c r="E392" s="76" t="s">
        <v>8</v>
      </c>
      <c r="F392" s="76" t="s">
        <v>532</v>
      </c>
      <c r="G392" s="79">
        <v>181.02</v>
      </c>
      <c r="H392" s="76"/>
    </row>
    <row r="393" spans="1:8" x14ac:dyDescent="0.25">
      <c r="A393" s="94">
        <v>2709</v>
      </c>
      <c r="B393" s="95">
        <v>12449</v>
      </c>
      <c r="C393" s="159">
        <v>43746</v>
      </c>
      <c r="D393" s="76">
        <v>804837</v>
      </c>
      <c r="E393" s="76" t="s">
        <v>8</v>
      </c>
      <c r="F393" s="76" t="s">
        <v>533</v>
      </c>
      <c r="G393" s="79">
        <v>579.88</v>
      </c>
      <c r="H393" s="76"/>
    </row>
    <row r="394" spans="1:8" x14ac:dyDescent="0.25">
      <c r="A394" s="94">
        <v>2709</v>
      </c>
      <c r="B394" s="95">
        <v>12451</v>
      </c>
      <c r="C394" s="94">
        <v>2110</v>
      </c>
      <c r="D394" s="76">
        <v>805459</v>
      </c>
      <c r="E394" s="76" t="s">
        <v>8</v>
      </c>
      <c r="F394" s="76" t="s">
        <v>533</v>
      </c>
      <c r="G394" s="79">
        <v>1896.66</v>
      </c>
      <c r="H394" s="76"/>
    </row>
    <row r="395" spans="1:8" x14ac:dyDescent="0.25">
      <c r="A395" s="94">
        <v>2709</v>
      </c>
      <c r="B395" s="95">
        <v>12446</v>
      </c>
      <c r="C395" s="94">
        <v>1510</v>
      </c>
      <c r="D395" s="76">
        <v>805056</v>
      </c>
      <c r="E395" s="76" t="s">
        <v>194</v>
      </c>
      <c r="F395" s="76" t="s">
        <v>534</v>
      </c>
      <c r="G395" s="79">
        <v>60</v>
      </c>
      <c r="H395" s="76"/>
    </row>
    <row r="396" spans="1:8" x14ac:dyDescent="0.25">
      <c r="A396" s="94">
        <v>2709</v>
      </c>
      <c r="B396" s="95">
        <v>12448</v>
      </c>
      <c r="C396" s="94">
        <v>1610</v>
      </c>
      <c r="D396" s="76">
        <v>805141</v>
      </c>
      <c r="E396" s="76" t="s">
        <v>194</v>
      </c>
      <c r="F396" s="76" t="s">
        <v>535</v>
      </c>
      <c r="G396" s="79">
        <v>30</v>
      </c>
      <c r="H396" s="76"/>
    </row>
    <row r="397" spans="1:8" x14ac:dyDescent="0.25">
      <c r="A397" s="94">
        <v>2709</v>
      </c>
      <c r="B397" s="95">
        <v>12479</v>
      </c>
      <c r="C397" s="94">
        <v>1510</v>
      </c>
      <c r="D397" s="76">
        <v>805057</v>
      </c>
      <c r="E397" s="76" t="s">
        <v>194</v>
      </c>
      <c r="F397" s="76" t="s">
        <v>536</v>
      </c>
      <c r="G397" s="79">
        <v>59.45</v>
      </c>
      <c r="H397" s="76"/>
    </row>
    <row r="398" spans="1:8" x14ac:dyDescent="0.25">
      <c r="A398" s="94">
        <v>3009</v>
      </c>
      <c r="B398" s="95">
        <v>12604</v>
      </c>
      <c r="C398" s="94">
        <v>1510</v>
      </c>
      <c r="D398" s="76">
        <v>805058</v>
      </c>
      <c r="E398" s="76" t="s">
        <v>38</v>
      </c>
      <c r="F398" s="76" t="s">
        <v>537</v>
      </c>
      <c r="G398" s="79">
        <v>738</v>
      </c>
      <c r="H398" s="76"/>
    </row>
    <row r="399" spans="1:8" x14ac:dyDescent="0.25">
      <c r="A399" s="94">
        <v>3009</v>
      </c>
      <c r="B399" s="95">
        <v>12606</v>
      </c>
      <c r="C399" s="94">
        <v>1710</v>
      </c>
      <c r="D399" s="76">
        <v>805240</v>
      </c>
      <c r="E399" s="76" t="s">
        <v>38</v>
      </c>
      <c r="F399" s="76" t="s">
        <v>538</v>
      </c>
      <c r="G399" s="79">
        <v>2050</v>
      </c>
      <c r="H399" s="76"/>
    </row>
    <row r="400" spans="1:8" x14ac:dyDescent="0.25">
      <c r="A400" s="94">
        <v>3009</v>
      </c>
      <c r="B400" s="95">
        <v>12609</v>
      </c>
      <c r="C400" s="94">
        <v>310</v>
      </c>
      <c r="D400" s="76">
        <v>804426</v>
      </c>
      <c r="E400" s="76" t="s">
        <v>127</v>
      </c>
      <c r="F400" s="76" t="s">
        <v>539</v>
      </c>
      <c r="G400" s="79">
        <v>352.2</v>
      </c>
      <c r="H400" s="76"/>
    </row>
    <row r="401" spans="1:8" x14ac:dyDescent="0.25">
      <c r="A401" s="94">
        <v>3009</v>
      </c>
      <c r="B401" s="95">
        <v>12619</v>
      </c>
      <c r="C401" s="94">
        <v>210</v>
      </c>
      <c r="D401" s="76">
        <v>401816</v>
      </c>
      <c r="E401" s="76" t="s">
        <v>127</v>
      </c>
      <c r="F401" s="76" t="s">
        <v>540</v>
      </c>
      <c r="G401" s="79">
        <v>7232.3</v>
      </c>
      <c r="H401" s="76"/>
    </row>
    <row r="402" spans="1:8" x14ac:dyDescent="0.25">
      <c r="A402" s="94">
        <v>3009</v>
      </c>
      <c r="B402" s="95">
        <v>10071</v>
      </c>
      <c r="C402" s="94">
        <v>110</v>
      </c>
      <c r="D402" s="76">
        <v>804363</v>
      </c>
      <c r="E402" s="76" t="s">
        <v>127</v>
      </c>
      <c r="F402" s="76" t="s">
        <v>541</v>
      </c>
      <c r="G402" s="79">
        <v>7689.6099999999988</v>
      </c>
      <c r="H402" s="76"/>
    </row>
    <row r="403" spans="1:8" x14ac:dyDescent="0.25">
      <c r="A403" s="94">
        <v>3009</v>
      </c>
      <c r="B403" s="95">
        <v>12627</v>
      </c>
      <c r="C403" s="94">
        <v>410</v>
      </c>
      <c r="D403" s="76">
        <v>804511</v>
      </c>
      <c r="E403" s="76" t="s">
        <v>127</v>
      </c>
      <c r="F403" s="76" t="s">
        <v>542</v>
      </c>
      <c r="G403" s="79">
        <v>710</v>
      </c>
      <c r="H403" s="76"/>
    </row>
    <row r="404" spans="1:8" x14ac:dyDescent="0.25">
      <c r="A404" s="94">
        <v>110</v>
      </c>
      <c r="B404" s="95">
        <v>12673</v>
      </c>
      <c r="C404" s="94">
        <v>1510</v>
      </c>
      <c r="D404" s="76">
        <v>805068</v>
      </c>
      <c r="E404" s="76" t="s">
        <v>205</v>
      </c>
      <c r="F404" s="76" t="s">
        <v>543</v>
      </c>
      <c r="G404" s="79">
        <v>49.8</v>
      </c>
      <c r="H404" s="76"/>
    </row>
    <row r="405" spans="1:8" x14ac:dyDescent="0.25">
      <c r="A405" s="94">
        <v>110</v>
      </c>
      <c r="B405" s="95">
        <v>12682</v>
      </c>
      <c r="C405" s="94">
        <v>1510</v>
      </c>
      <c r="D405" s="76">
        <v>805073</v>
      </c>
      <c r="E405" s="76" t="s">
        <v>38</v>
      </c>
      <c r="F405" s="76" t="s">
        <v>544</v>
      </c>
      <c r="G405" s="79">
        <v>689.77</v>
      </c>
      <c r="H405" s="76"/>
    </row>
    <row r="406" spans="1:8" x14ac:dyDescent="0.25">
      <c r="A406" s="94">
        <v>110</v>
      </c>
      <c r="B406" s="95">
        <v>12724</v>
      </c>
      <c r="C406" s="94">
        <v>410</v>
      </c>
      <c r="D406" s="76">
        <v>804513</v>
      </c>
      <c r="E406" s="76" t="s">
        <v>127</v>
      </c>
      <c r="F406" s="76" t="s">
        <v>542</v>
      </c>
      <c r="G406" s="79">
        <v>710</v>
      </c>
      <c r="H406" s="76"/>
    </row>
    <row r="407" spans="1:8" x14ac:dyDescent="0.25">
      <c r="A407" s="94">
        <v>110</v>
      </c>
      <c r="B407" s="95">
        <v>12725</v>
      </c>
      <c r="C407" s="94">
        <v>410</v>
      </c>
      <c r="D407" s="76">
        <v>804515</v>
      </c>
      <c r="E407" s="76" t="s">
        <v>127</v>
      </c>
      <c r="F407" s="76" t="s">
        <v>542</v>
      </c>
      <c r="G407" s="79">
        <v>710</v>
      </c>
      <c r="H407" s="76"/>
    </row>
    <row r="408" spans="1:8" x14ac:dyDescent="0.25">
      <c r="A408" s="94">
        <v>110</v>
      </c>
      <c r="B408" s="95">
        <v>12726</v>
      </c>
      <c r="C408" s="94">
        <v>410</v>
      </c>
      <c r="D408" s="76">
        <v>804517</v>
      </c>
      <c r="E408" s="76" t="s">
        <v>127</v>
      </c>
      <c r="F408" s="76" t="s">
        <v>542</v>
      </c>
      <c r="G408" s="79">
        <v>710</v>
      </c>
      <c r="H408" s="76"/>
    </row>
    <row r="409" spans="1:8" x14ac:dyDescent="0.25">
      <c r="A409" s="94">
        <v>110</v>
      </c>
      <c r="B409" s="95">
        <v>12727</v>
      </c>
      <c r="C409" s="94">
        <v>410</v>
      </c>
      <c r="D409" s="76">
        <v>804520</v>
      </c>
      <c r="E409" s="76" t="s">
        <v>127</v>
      </c>
      <c r="F409" s="76" t="s">
        <v>542</v>
      </c>
      <c r="G409" s="79">
        <v>2100</v>
      </c>
      <c r="H409" s="76"/>
    </row>
    <row r="410" spans="1:8" x14ac:dyDescent="0.25">
      <c r="A410" s="94">
        <v>110</v>
      </c>
      <c r="B410" s="95">
        <v>12728</v>
      </c>
      <c r="C410" s="94">
        <v>410</v>
      </c>
      <c r="D410" s="76">
        <v>804521</v>
      </c>
      <c r="E410" s="76" t="s">
        <v>127</v>
      </c>
      <c r="F410" s="76" t="s">
        <v>542</v>
      </c>
      <c r="G410" s="79">
        <v>2100</v>
      </c>
      <c r="H410" s="76"/>
    </row>
    <row r="411" spans="1:8" x14ac:dyDescent="0.25">
      <c r="A411" s="94">
        <v>110</v>
      </c>
      <c r="B411" s="95">
        <v>12729</v>
      </c>
      <c r="C411" s="94">
        <v>410</v>
      </c>
      <c r="D411" s="76">
        <v>804522</v>
      </c>
      <c r="E411" s="76" t="s">
        <v>127</v>
      </c>
      <c r="F411" s="76" t="s">
        <v>542</v>
      </c>
      <c r="G411" s="79">
        <v>2100</v>
      </c>
      <c r="H411" s="76"/>
    </row>
    <row r="412" spans="1:8" x14ac:dyDescent="0.25">
      <c r="A412" s="94">
        <v>410</v>
      </c>
      <c r="B412" s="95">
        <v>12855</v>
      </c>
      <c r="C412" s="94">
        <v>710</v>
      </c>
      <c r="D412" s="76">
        <v>804612</v>
      </c>
      <c r="E412" s="76" t="s">
        <v>40</v>
      </c>
      <c r="F412" s="76" t="s">
        <v>545</v>
      </c>
      <c r="G412" s="79">
        <v>750</v>
      </c>
      <c r="H412" s="76"/>
    </row>
    <row r="413" spans="1:8" x14ac:dyDescent="0.25">
      <c r="A413" s="94">
        <v>410</v>
      </c>
      <c r="B413" s="95">
        <v>12926</v>
      </c>
      <c r="C413" s="94">
        <v>2210</v>
      </c>
      <c r="D413" s="76">
        <v>805677</v>
      </c>
      <c r="E413" s="76" t="s">
        <v>8</v>
      </c>
      <c r="F413" s="76" t="s">
        <v>546</v>
      </c>
      <c r="G413" s="79">
        <v>48394</v>
      </c>
      <c r="H413" s="76"/>
    </row>
    <row r="414" spans="1:8" x14ac:dyDescent="0.25">
      <c r="A414" s="94">
        <v>410</v>
      </c>
      <c r="B414" s="95">
        <v>12954</v>
      </c>
      <c r="C414" s="94">
        <v>1710</v>
      </c>
      <c r="D414" s="76">
        <v>805239</v>
      </c>
      <c r="E414" s="76" t="s">
        <v>354</v>
      </c>
      <c r="F414" s="76" t="s">
        <v>547</v>
      </c>
      <c r="G414" s="79">
        <v>325</v>
      </c>
      <c r="H414" s="76"/>
    </row>
    <row r="415" spans="1:8" x14ac:dyDescent="0.25">
      <c r="A415" s="94">
        <v>410</v>
      </c>
      <c r="B415" s="95">
        <v>12955</v>
      </c>
      <c r="C415" s="94">
        <v>1510</v>
      </c>
      <c r="D415" s="76">
        <v>805082</v>
      </c>
      <c r="E415" s="76" t="s">
        <v>354</v>
      </c>
      <c r="F415" s="76" t="s">
        <v>548</v>
      </c>
      <c r="G415" s="79">
        <v>480</v>
      </c>
      <c r="H415" s="76"/>
    </row>
    <row r="416" spans="1:8" x14ac:dyDescent="0.25">
      <c r="A416" s="94">
        <v>1010</v>
      </c>
      <c r="B416" s="95">
        <v>13326</v>
      </c>
      <c r="C416" s="94">
        <v>1510</v>
      </c>
      <c r="D416" s="76">
        <v>805050</v>
      </c>
      <c r="E416" s="76" t="s">
        <v>12</v>
      </c>
      <c r="F416" s="76" t="s">
        <v>549</v>
      </c>
      <c r="G416" s="79">
        <v>100000</v>
      </c>
      <c r="H416" s="76"/>
    </row>
    <row r="417" spans="1:8" x14ac:dyDescent="0.25">
      <c r="A417" s="94">
        <v>1410</v>
      </c>
      <c r="B417" s="95">
        <v>13502</v>
      </c>
      <c r="C417" s="94">
        <v>1510</v>
      </c>
      <c r="D417" s="76">
        <v>805067</v>
      </c>
      <c r="E417" s="76" t="s">
        <v>127</v>
      </c>
      <c r="F417" s="76" t="s">
        <v>550</v>
      </c>
      <c r="G417" s="79">
        <v>21</v>
      </c>
      <c r="H417" s="76"/>
    </row>
    <row r="418" spans="1:8" x14ac:dyDescent="0.25">
      <c r="A418" s="94">
        <v>1510</v>
      </c>
      <c r="B418" s="95">
        <v>13656</v>
      </c>
      <c r="C418" s="94">
        <v>2210</v>
      </c>
      <c r="D418" s="76">
        <v>805582</v>
      </c>
      <c r="E418" s="76" t="s">
        <v>127</v>
      </c>
      <c r="F418" s="76" t="s">
        <v>551</v>
      </c>
      <c r="G418" s="79">
        <v>710</v>
      </c>
      <c r="H418" s="76"/>
    </row>
    <row r="419" spans="1:8" x14ac:dyDescent="0.25">
      <c r="A419" s="94">
        <v>1510</v>
      </c>
      <c r="B419" s="95">
        <v>13650</v>
      </c>
      <c r="C419" s="94">
        <v>2210</v>
      </c>
      <c r="D419" s="76">
        <v>805603</v>
      </c>
      <c r="E419" s="76" t="s">
        <v>89</v>
      </c>
      <c r="F419" s="76" t="s">
        <v>552</v>
      </c>
      <c r="G419" s="79">
        <v>442.98</v>
      </c>
      <c r="H419" s="76"/>
    </row>
    <row r="420" spans="1:8" x14ac:dyDescent="0.25">
      <c r="A420" s="94">
        <v>1510</v>
      </c>
      <c r="B420" s="95">
        <v>13714</v>
      </c>
      <c r="C420" s="94">
        <v>2210</v>
      </c>
      <c r="D420" s="76">
        <v>805686</v>
      </c>
      <c r="E420" s="76" t="s">
        <v>38</v>
      </c>
      <c r="F420" s="76" t="s">
        <v>553</v>
      </c>
      <c r="G420" s="79">
        <v>94.99</v>
      </c>
      <c r="H420" s="76"/>
    </row>
    <row r="421" spans="1:8" x14ac:dyDescent="0.25">
      <c r="A421" s="94">
        <v>1610</v>
      </c>
      <c r="B421" s="95">
        <v>13752</v>
      </c>
      <c r="C421" s="94">
        <v>1710</v>
      </c>
      <c r="D421" s="76">
        <v>401964</v>
      </c>
      <c r="E421" s="76" t="s">
        <v>127</v>
      </c>
      <c r="F421" s="76" t="s">
        <v>554</v>
      </c>
      <c r="G421" s="79">
        <v>3360</v>
      </c>
      <c r="H421" s="76"/>
    </row>
    <row r="422" spans="1:8" x14ac:dyDescent="0.25">
      <c r="A422" s="94">
        <v>1610</v>
      </c>
      <c r="B422" s="95">
        <v>13803</v>
      </c>
      <c r="C422" s="94">
        <v>1710</v>
      </c>
      <c r="D422" s="76">
        <v>401963</v>
      </c>
      <c r="E422" s="76" t="s">
        <v>127</v>
      </c>
      <c r="F422" s="76" t="s">
        <v>555</v>
      </c>
      <c r="G422" s="79">
        <v>34917</v>
      </c>
      <c r="H422" s="76"/>
    </row>
    <row r="423" spans="1:8" x14ac:dyDescent="0.25">
      <c r="A423" s="94">
        <v>1710</v>
      </c>
      <c r="B423" s="95">
        <v>13918</v>
      </c>
      <c r="C423" s="94"/>
      <c r="D423" s="76"/>
      <c r="E423" s="76" t="s">
        <v>127</v>
      </c>
      <c r="F423" s="76" t="s">
        <v>556</v>
      </c>
      <c r="G423" s="79">
        <v>300</v>
      </c>
      <c r="H423" s="76"/>
    </row>
    <row r="424" spans="1:8" x14ac:dyDescent="0.25">
      <c r="A424" s="94">
        <v>1710</v>
      </c>
      <c r="B424" s="95">
        <v>13919</v>
      </c>
      <c r="C424" s="94">
        <v>2310</v>
      </c>
      <c r="D424" s="76">
        <v>805792</v>
      </c>
      <c r="E424" s="76" t="s">
        <v>127</v>
      </c>
      <c r="F424" s="76" t="s">
        <v>490</v>
      </c>
      <c r="G424" s="79">
        <v>3083.3</v>
      </c>
      <c r="H424" s="76"/>
    </row>
    <row r="425" spans="1:8" x14ac:dyDescent="0.25">
      <c r="A425" s="94">
        <v>1710</v>
      </c>
      <c r="B425" s="95">
        <v>13922</v>
      </c>
      <c r="C425" s="94">
        <v>2110</v>
      </c>
      <c r="D425" s="76">
        <v>805512</v>
      </c>
      <c r="E425" s="76" t="s">
        <v>127</v>
      </c>
      <c r="F425" s="76" t="s">
        <v>163</v>
      </c>
      <c r="G425" s="79">
        <v>6192.5</v>
      </c>
      <c r="H425" s="76"/>
    </row>
    <row r="426" spans="1:8" x14ac:dyDescent="0.25">
      <c r="A426" s="94">
        <v>1710</v>
      </c>
      <c r="B426" s="95">
        <v>13930</v>
      </c>
      <c r="C426" s="94">
        <v>2510</v>
      </c>
      <c r="D426" s="76">
        <v>805894</v>
      </c>
      <c r="E426" s="76" t="s">
        <v>89</v>
      </c>
      <c r="F426" s="76" t="s">
        <v>557</v>
      </c>
      <c r="G426" s="79">
        <v>2518.44</v>
      </c>
      <c r="H426" s="76"/>
    </row>
    <row r="427" spans="1:8" x14ac:dyDescent="0.25">
      <c r="A427" s="94">
        <v>1710</v>
      </c>
      <c r="B427" s="95">
        <v>13931</v>
      </c>
      <c r="C427" s="94">
        <v>2510</v>
      </c>
      <c r="D427" s="76">
        <v>805896</v>
      </c>
      <c r="E427" s="76" t="s">
        <v>89</v>
      </c>
      <c r="F427" s="76" t="s">
        <v>558</v>
      </c>
      <c r="G427" s="79">
        <v>2565</v>
      </c>
      <c r="H427" s="76"/>
    </row>
    <row r="428" spans="1:8" x14ac:dyDescent="0.25">
      <c r="A428" s="94">
        <v>2210</v>
      </c>
      <c r="B428" s="95">
        <v>14210</v>
      </c>
      <c r="C428" s="94">
        <v>2410</v>
      </c>
      <c r="D428" s="76">
        <v>402077</v>
      </c>
      <c r="E428" s="76" t="s">
        <v>12</v>
      </c>
      <c r="F428" s="76" t="s">
        <v>559</v>
      </c>
      <c r="G428" s="79">
        <v>500</v>
      </c>
      <c r="H428" s="76"/>
    </row>
    <row r="429" spans="1:8" x14ac:dyDescent="0.25">
      <c r="A429" s="94">
        <v>2210</v>
      </c>
      <c r="B429" s="95">
        <v>14212</v>
      </c>
      <c r="C429" s="94"/>
      <c r="D429" s="76"/>
      <c r="E429" s="76" t="s">
        <v>12</v>
      </c>
      <c r="F429" s="76" t="s">
        <v>560</v>
      </c>
      <c r="G429" s="79">
        <v>500</v>
      </c>
      <c r="H429" s="76"/>
    </row>
    <row r="430" spans="1:8" x14ac:dyDescent="0.25">
      <c r="A430" s="94">
        <v>2210</v>
      </c>
      <c r="B430" s="95">
        <v>14214</v>
      </c>
      <c r="C430" s="94">
        <v>2910</v>
      </c>
      <c r="D430" s="76">
        <v>402102</v>
      </c>
      <c r="E430" s="76" t="s">
        <v>12</v>
      </c>
      <c r="F430" s="76" t="s">
        <v>561</v>
      </c>
      <c r="G430" s="79">
        <v>500</v>
      </c>
      <c r="H430" s="76"/>
    </row>
    <row r="431" spans="1:8" x14ac:dyDescent="0.25">
      <c r="A431" s="94">
        <v>2310</v>
      </c>
      <c r="B431" s="95">
        <v>14267</v>
      </c>
      <c r="C431" s="94">
        <v>2410</v>
      </c>
      <c r="D431" s="76">
        <v>805865</v>
      </c>
      <c r="E431" s="76" t="s">
        <v>89</v>
      </c>
      <c r="F431" s="76" t="s">
        <v>562</v>
      </c>
      <c r="G431" s="79">
        <v>4300</v>
      </c>
      <c r="H431" s="76"/>
    </row>
    <row r="432" spans="1:8" x14ac:dyDescent="0.25">
      <c r="A432" s="94">
        <v>2510</v>
      </c>
      <c r="B432" s="95">
        <v>14422</v>
      </c>
      <c r="C432" s="94">
        <v>3010</v>
      </c>
      <c r="D432" s="76">
        <v>805995</v>
      </c>
      <c r="E432" s="76" t="s">
        <v>38</v>
      </c>
      <c r="F432" s="76" t="s">
        <v>563</v>
      </c>
      <c r="G432" s="79">
        <v>65.8</v>
      </c>
      <c r="H432" s="76"/>
    </row>
    <row r="433" spans="1:8" x14ac:dyDescent="0.25">
      <c r="A433" s="94">
        <v>2910</v>
      </c>
      <c r="B433" s="95">
        <v>14496</v>
      </c>
      <c r="C433" s="94"/>
      <c r="D433" s="76"/>
      <c r="E433" s="76" t="s">
        <v>89</v>
      </c>
      <c r="F433" s="95" t="s">
        <v>564</v>
      </c>
      <c r="G433" s="79">
        <v>1000</v>
      </c>
      <c r="H433" s="76"/>
    </row>
    <row r="434" spans="1:8" x14ac:dyDescent="0.25">
      <c r="A434" s="94">
        <v>3010</v>
      </c>
      <c r="B434" s="95">
        <v>14608</v>
      </c>
      <c r="C434" s="94">
        <v>3110</v>
      </c>
      <c r="D434" s="76">
        <v>806029</v>
      </c>
      <c r="E434" s="76" t="s">
        <v>12</v>
      </c>
      <c r="F434" s="76" t="s">
        <v>565</v>
      </c>
      <c r="G434" s="79">
        <v>134576.04999999999</v>
      </c>
      <c r="H434" s="76"/>
    </row>
    <row r="435" spans="1:8" x14ac:dyDescent="0.25">
      <c r="A435" s="94">
        <v>3010</v>
      </c>
      <c r="B435" s="95">
        <v>14451</v>
      </c>
      <c r="C435" s="94">
        <v>111</v>
      </c>
      <c r="D435" s="76">
        <v>806082</v>
      </c>
      <c r="E435" s="76" t="s">
        <v>89</v>
      </c>
      <c r="F435" s="76" t="s">
        <v>567</v>
      </c>
      <c r="G435" s="79">
        <v>10930</v>
      </c>
      <c r="H435" s="76"/>
    </row>
    <row r="436" spans="1:8" x14ac:dyDescent="0.25">
      <c r="A436" s="94">
        <v>3010</v>
      </c>
      <c r="B436" s="95">
        <v>14466</v>
      </c>
      <c r="C436" s="94">
        <v>111</v>
      </c>
      <c r="D436" s="76">
        <v>806080</v>
      </c>
      <c r="E436" s="76" t="s">
        <v>89</v>
      </c>
      <c r="F436" s="76" t="s">
        <v>568</v>
      </c>
      <c r="G436" s="79">
        <v>9866</v>
      </c>
      <c r="H436" s="76"/>
    </row>
    <row r="437" spans="1:8" x14ac:dyDescent="0.25">
      <c r="A437" s="94">
        <v>3010</v>
      </c>
      <c r="B437" s="95">
        <v>14638</v>
      </c>
      <c r="C437" s="94">
        <v>3110</v>
      </c>
      <c r="D437" s="76">
        <v>402152</v>
      </c>
      <c r="E437" s="76" t="s">
        <v>127</v>
      </c>
      <c r="F437" s="76" t="s">
        <v>569</v>
      </c>
      <c r="G437" s="79">
        <v>-6492.13</v>
      </c>
      <c r="H437" s="76"/>
    </row>
    <row r="438" spans="1:8" x14ac:dyDescent="0.25">
      <c r="A438" s="94">
        <v>411</v>
      </c>
      <c r="B438" s="95">
        <v>14895</v>
      </c>
      <c r="C438" s="94"/>
      <c r="D438" s="76"/>
      <c r="E438" s="76" t="s">
        <v>127</v>
      </c>
      <c r="F438" s="76" t="s">
        <v>570</v>
      </c>
      <c r="G438" s="79">
        <v>3000</v>
      </c>
      <c r="H438" s="76"/>
    </row>
    <row r="439" spans="1:8" x14ac:dyDescent="0.25">
      <c r="A439" s="159">
        <v>43773</v>
      </c>
      <c r="B439" s="95">
        <v>14523</v>
      </c>
      <c r="C439" s="94"/>
      <c r="D439" s="76"/>
      <c r="E439" s="76" t="s">
        <v>300</v>
      </c>
      <c r="F439" s="76" t="s">
        <v>571</v>
      </c>
      <c r="G439" s="79">
        <v>400</v>
      </c>
      <c r="H439" s="76"/>
    </row>
    <row r="440" spans="1:8" x14ac:dyDescent="0.25">
      <c r="A440" s="94">
        <v>411</v>
      </c>
      <c r="B440" s="95">
        <v>14926</v>
      </c>
      <c r="C440" s="94"/>
      <c r="D440" s="76"/>
      <c r="E440" s="76" t="s">
        <v>572</v>
      </c>
      <c r="F440" s="76" t="s">
        <v>573</v>
      </c>
      <c r="G440" s="79">
        <v>241146.5</v>
      </c>
      <c r="H440" s="76"/>
    </row>
    <row r="441" spans="1:8" x14ac:dyDescent="0.25">
      <c r="A441" s="94">
        <v>411</v>
      </c>
      <c r="B441" s="95">
        <v>14989</v>
      </c>
      <c r="C441" s="94"/>
      <c r="D441" s="76"/>
      <c r="E441" s="76" t="s">
        <v>572</v>
      </c>
      <c r="F441" s="76" t="s">
        <v>574</v>
      </c>
      <c r="G441" s="79">
        <v>4999.8999999999996</v>
      </c>
      <c r="H441" s="76"/>
    </row>
    <row r="442" spans="1:8" x14ac:dyDescent="0.25">
      <c r="A442" s="94">
        <v>411</v>
      </c>
      <c r="B442" s="95">
        <v>14948</v>
      </c>
      <c r="C442" s="94"/>
      <c r="D442" s="76"/>
      <c r="E442" s="76" t="s">
        <v>572</v>
      </c>
      <c r="F442" s="76" t="s">
        <v>575</v>
      </c>
      <c r="G442" s="79">
        <v>7000</v>
      </c>
      <c r="H442" s="76"/>
    </row>
    <row r="443" spans="1:8" x14ac:dyDescent="0.25">
      <c r="A443" s="94">
        <v>411</v>
      </c>
      <c r="B443" s="95">
        <v>14908</v>
      </c>
      <c r="C443" s="94"/>
      <c r="D443" s="76"/>
      <c r="E443" s="76" t="s">
        <v>8</v>
      </c>
      <c r="F443" s="76" t="s">
        <v>576</v>
      </c>
      <c r="G443" s="79">
        <v>999.98</v>
      </c>
      <c r="H443" s="76"/>
    </row>
    <row r="444" spans="1:8" x14ac:dyDescent="0.25">
      <c r="A444" s="94">
        <v>411</v>
      </c>
      <c r="B444" s="95">
        <v>14911</v>
      </c>
      <c r="C444" s="94"/>
      <c r="D444" s="76"/>
      <c r="E444" s="76" t="s">
        <v>8</v>
      </c>
      <c r="F444" s="76" t="s">
        <v>576</v>
      </c>
      <c r="G444" s="79">
        <v>88.92</v>
      </c>
      <c r="H444" s="76"/>
    </row>
    <row r="445" spans="1:8" x14ac:dyDescent="0.25">
      <c r="A445" s="94">
        <v>411</v>
      </c>
      <c r="B445" s="95">
        <v>14913</v>
      </c>
      <c r="C445" s="94"/>
      <c r="D445" s="76"/>
      <c r="E445" s="76" t="s">
        <v>8</v>
      </c>
      <c r="F445" s="76" t="s">
        <v>576</v>
      </c>
      <c r="G445" s="79">
        <v>230.95</v>
      </c>
      <c r="H445" s="76"/>
    </row>
    <row r="446" spans="1:8" x14ac:dyDescent="0.25">
      <c r="A446" s="94">
        <v>411</v>
      </c>
      <c r="B446" s="95">
        <v>14915</v>
      </c>
      <c r="C446" s="94"/>
      <c r="D446" s="76"/>
      <c r="E446" s="76" t="s">
        <v>8</v>
      </c>
      <c r="F446" s="76" t="s">
        <v>577</v>
      </c>
      <c r="G446" s="79">
        <v>984.86</v>
      </c>
      <c r="H446" s="76"/>
    </row>
    <row r="447" spans="1:8" x14ac:dyDescent="0.25">
      <c r="A447" s="94">
        <v>411</v>
      </c>
      <c r="B447" s="95">
        <v>14918</v>
      </c>
      <c r="C447" s="94"/>
      <c r="D447" s="76"/>
      <c r="E447" s="76" t="s">
        <v>8</v>
      </c>
      <c r="F447" s="76" t="s">
        <v>577</v>
      </c>
      <c r="G447" s="79">
        <v>250.97</v>
      </c>
      <c r="H447" s="76"/>
    </row>
    <row r="448" spans="1:8" x14ac:dyDescent="0.25">
      <c r="A448" s="94">
        <v>411</v>
      </c>
      <c r="B448" s="95">
        <v>14922</v>
      </c>
      <c r="C448" s="94"/>
      <c r="D448" s="76"/>
      <c r="E448" s="76" t="s">
        <v>8</v>
      </c>
      <c r="F448" s="76" t="s">
        <v>578</v>
      </c>
      <c r="G448" s="79">
        <v>469.02</v>
      </c>
      <c r="H448" s="76"/>
    </row>
    <row r="449" spans="1:8" x14ac:dyDescent="0.25">
      <c r="A449" s="94">
        <v>511</v>
      </c>
      <c r="B449" s="95">
        <v>14983</v>
      </c>
      <c r="C449" s="94"/>
      <c r="D449" s="76"/>
      <c r="E449" s="76" t="s">
        <v>8</v>
      </c>
      <c r="F449" s="76" t="s">
        <v>579</v>
      </c>
      <c r="G449" s="79">
        <v>1875.65</v>
      </c>
      <c r="H449" s="76"/>
    </row>
    <row r="450" spans="1:8" x14ac:dyDescent="0.25">
      <c r="A450" s="94"/>
      <c r="B450" s="95"/>
      <c r="C450" s="94"/>
      <c r="D450" s="76"/>
      <c r="E450" s="76"/>
      <c r="F450" s="76"/>
      <c r="G450" s="79"/>
      <c r="H450" s="76"/>
    </row>
    <row r="451" spans="1:8" x14ac:dyDescent="0.25">
      <c r="A451" s="94"/>
      <c r="B451" s="95"/>
      <c r="C451" s="94"/>
      <c r="D451" s="76"/>
      <c r="E451" s="76"/>
      <c r="F451" s="100"/>
      <c r="G451" s="103"/>
      <c r="H451" s="76"/>
    </row>
    <row r="452" spans="1:8" x14ac:dyDescent="0.25">
      <c r="A452" s="94"/>
      <c r="B452" s="95"/>
      <c r="C452" s="94"/>
      <c r="D452" s="76"/>
      <c r="E452" s="76"/>
      <c r="F452" s="100"/>
      <c r="G452" s="103"/>
      <c r="H452" s="76"/>
    </row>
    <row r="453" spans="1:8" x14ac:dyDescent="0.25">
      <c r="A453" s="94"/>
      <c r="B453" s="95"/>
      <c r="C453" s="94"/>
      <c r="D453" s="76"/>
      <c r="E453" s="76"/>
      <c r="F453" s="76"/>
      <c r="G453" s="79"/>
      <c r="H453" s="76"/>
    </row>
    <row r="454" spans="1:8" x14ac:dyDescent="0.25">
      <c r="A454" s="94"/>
      <c r="B454" s="95"/>
      <c r="C454" s="94"/>
      <c r="D454" s="76"/>
      <c r="E454" s="76"/>
      <c r="F454" s="76"/>
      <c r="G454" s="79"/>
      <c r="H454" s="76"/>
    </row>
    <row r="455" spans="1:8" x14ac:dyDescent="0.25">
      <c r="A455" s="94"/>
      <c r="B455" s="95"/>
      <c r="C455" s="94"/>
      <c r="D455" s="76"/>
      <c r="E455" s="76"/>
      <c r="F455" s="76"/>
      <c r="G455" s="79"/>
      <c r="H455" s="76"/>
    </row>
    <row r="456" spans="1:8" x14ac:dyDescent="0.25">
      <c r="A456" s="94"/>
      <c r="B456" s="95"/>
      <c r="C456" s="94"/>
      <c r="D456" s="76"/>
      <c r="E456" s="76"/>
      <c r="F456" s="76"/>
      <c r="G456" s="79"/>
      <c r="H456" s="76"/>
    </row>
    <row r="457" spans="1:8" x14ac:dyDescent="0.25">
      <c r="A457" s="94"/>
      <c r="B457" s="95"/>
      <c r="C457" s="94"/>
      <c r="D457" s="76"/>
      <c r="E457" s="76"/>
      <c r="F457" s="76"/>
      <c r="G457" s="79"/>
      <c r="H457" s="76"/>
    </row>
    <row r="458" spans="1:8" x14ac:dyDescent="0.25">
      <c r="A458" s="94"/>
      <c r="B458" s="95"/>
      <c r="C458" s="94"/>
      <c r="D458" s="76"/>
      <c r="E458" s="76"/>
      <c r="F458" s="76"/>
      <c r="G458" s="79"/>
      <c r="H458" s="76"/>
    </row>
    <row r="459" spans="1:8" x14ac:dyDescent="0.25">
      <c r="A459" s="94"/>
      <c r="B459" s="95"/>
      <c r="C459" s="94"/>
      <c r="D459" s="76"/>
      <c r="E459" s="76"/>
      <c r="F459" s="76"/>
      <c r="G459" s="79"/>
      <c r="H459" s="76"/>
    </row>
    <row r="460" spans="1:8" x14ac:dyDescent="0.25">
      <c r="A460" s="94"/>
      <c r="B460" s="95"/>
      <c r="C460" s="94"/>
      <c r="D460" s="76"/>
      <c r="E460" s="76"/>
      <c r="F460" s="76"/>
      <c r="G460" s="79"/>
      <c r="H460" s="76"/>
    </row>
    <row r="461" spans="1:8" x14ac:dyDescent="0.25">
      <c r="A461" s="94"/>
      <c r="B461" s="95"/>
      <c r="C461" s="94"/>
      <c r="D461" s="76"/>
      <c r="E461" s="76"/>
      <c r="F461" s="76"/>
      <c r="G461" s="79"/>
      <c r="H461" s="76"/>
    </row>
    <row r="462" spans="1:8" x14ac:dyDescent="0.25">
      <c r="A462" s="94"/>
      <c r="B462" s="95"/>
      <c r="C462" s="94"/>
      <c r="D462" s="76"/>
      <c r="E462" s="76"/>
      <c r="F462" s="76"/>
      <c r="G462" s="79"/>
      <c r="H462" s="76"/>
    </row>
    <row r="463" spans="1:8" x14ac:dyDescent="0.25">
      <c r="A463" s="94"/>
      <c r="B463" s="95"/>
      <c r="C463" s="94"/>
      <c r="D463" s="76"/>
      <c r="E463" s="76"/>
      <c r="F463" s="76"/>
      <c r="G463" s="79"/>
      <c r="H463" s="76"/>
    </row>
    <row r="464" spans="1:8" x14ac:dyDescent="0.25">
      <c r="A464" s="94"/>
      <c r="B464" s="95"/>
      <c r="C464" s="94"/>
      <c r="D464" s="76"/>
      <c r="E464" s="76"/>
      <c r="F464" s="76"/>
      <c r="G464" s="79"/>
      <c r="H464" s="76"/>
    </row>
    <row r="465" spans="1:8" x14ac:dyDescent="0.25">
      <c r="A465" s="94"/>
      <c r="B465" s="95"/>
      <c r="C465" s="94"/>
      <c r="D465" s="76"/>
      <c r="E465" s="76"/>
      <c r="F465" s="76"/>
      <c r="G465" s="79"/>
      <c r="H465" s="76"/>
    </row>
    <row r="466" spans="1:8" x14ac:dyDescent="0.25">
      <c r="A466" s="94"/>
      <c r="B466" s="95"/>
      <c r="C466" s="94"/>
      <c r="D466" s="76"/>
      <c r="E466" s="76"/>
      <c r="F466" s="76"/>
      <c r="G466" s="79"/>
      <c r="H466" s="76"/>
    </row>
    <row r="467" spans="1:8" x14ac:dyDescent="0.25">
      <c r="A467" s="94"/>
      <c r="B467" s="95"/>
      <c r="C467" s="94"/>
      <c r="D467" s="76"/>
      <c r="E467" s="76"/>
      <c r="F467" s="76"/>
      <c r="G467" s="79"/>
      <c r="H467" s="76"/>
    </row>
    <row r="468" spans="1:8" x14ac:dyDescent="0.25">
      <c r="A468" s="94"/>
      <c r="B468" s="95"/>
      <c r="C468" s="94"/>
      <c r="D468" s="76"/>
      <c r="E468" s="76"/>
      <c r="F468" s="76"/>
      <c r="G468" s="79"/>
      <c r="H468" s="76"/>
    </row>
    <row r="469" spans="1:8" x14ac:dyDescent="0.25">
      <c r="A469" s="94"/>
      <c r="B469" s="95"/>
      <c r="C469" s="94"/>
      <c r="D469" s="76"/>
      <c r="E469" s="76"/>
      <c r="F469" s="76"/>
      <c r="G469" s="79"/>
      <c r="H469" s="76"/>
    </row>
    <row r="470" spans="1:8" x14ac:dyDescent="0.25">
      <c r="A470" s="94"/>
      <c r="B470" s="95"/>
      <c r="C470" s="94"/>
      <c r="D470" s="76"/>
      <c r="E470" s="76"/>
      <c r="F470" s="76"/>
      <c r="G470" s="79"/>
      <c r="H470" s="76"/>
    </row>
    <row r="471" spans="1:8" x14ac:dyDescent="0.25">
      <c r="A471" s="94"/>
      <c r="B471" s="95"/>
      <c r="C471" s="94"/>
      <c r="D471" s="76"/>
      <c r="E471" s="76"/>
      <c r="F471" s="76"/>
      <c r="G471" s="79"/>
      <c r="H471" s="76"/>
    </row>
    <row r="472" spans="1:8" x14ac:dyDescent="0.25">
      <c r="A472" s="94"/>
      <c r="B472" s="95"/>
      <c r="C472" s="94"/>
      <c r="D472" s="76"/>
      <c r="E472" s="76"/>
      <c r="F472" s="76"/>
      <c r="G472" s="79"/>
      <c r="H472" s="76"/>
    </row>
    <row r="473" spans="1:8" x14ac:dyDescent="0.25">
      <c r="A473" s="94"/>
      <c r="B473" s="95"/>
      <c r="C473" s="94"/>
      <c r="D473" s="76"/>
      <c r="E473" s="76"/>
      <c r="F473" s="76"/>
      <c r="G473" s="79"/>
      <c r="H473" s="76"/>
    </row>
    <row r="474" spans="1:8" x14ac:dyDescent="0.25">
      <c r="A474" s="94"/>
      <c r="B474" s="95"/>
      <c r="C474" s="94"/>
      <c r="D474" s="76"/>
      <c r="E474" s="76"/>
      <c r="F474" s="76"/>
      <c r="G474" s="79"/>
      <c r="H474" s="76"/>
    </row>
    <row r="475" spans="1:8" x14ac:dyDescent="0.25">
      <c r="A475" s="94"/>
      <c r="B475" s="95"/>
      <c r="C475" s="94"/>
      <c r="D475" s="76"/>
      <c r="E475" s="76"/>
      <c r="F475" s="76"/>
      <c r="G475" s="79"/>
      <c r="H475" s="76"/>
    </row>
    <row r="476" spans="1:8" x14ac:dyDescent="0.25">
      <c r="A476" s="94"/>
      <c r="B476" s="95"/>
      <c r="C476" s="94"/>
      <c r="D476" s="76"/>
      <c r="E476" s="76"/>
      <c r="F476" s="76"/>
      <c r="G476" s="79"/>
      <c r="H476" s="76"/>
    </row>
    <row r="477" spans="1:8" x14ac:dyDescent="0.25">
      <c r="A477" s="94"/>
      <c r="B477" s="95"/>
      <c r="C477" s="94"/>
      <c r="D477" s="76"/>
      <c r="E477" s="76"/>
      <c r="F477" s="76"/>
      <c r="G477" s="79"/>
      <c r="H477" s="76"/>
    </row>
    <row r="478" spans="1:8" x14ac:dyDescent="0.25">
      <c r="A478" s="94"/>
      <c r="B478" s="95"/>
      <c r="C478" s="94"/>
      <c r="D478" s="76"/>
      <c r="E478" s="76"/>
      <c r="F478" s="76"/>
      <c r="G478" s="79"/>
      <c r="H478" s="76"/>
    </row>
    <row r="479" spans="1:8" x14ac:dyDescent="0.25">
      <c r="A479" s="94"/>
      <c r="B479" s="95"/>
      <c r="C479" s="94"/>
      <c r="D479" s="76"/>
      <c r="E479" s="76"/>
      <c r="F479" s="76"/>
      <c r="G479" s="79"/>
      <c r="H479" s="76"/>
    </row>
    <row r="480" spans="1:8" x14ac:dyDescent="0.25">
      <c r="A480" s="94"/>
      <c r="B480" s="95"/>
      <c r="C480" s="94"/>
      <c r="D480" s="76"/>
      <c r="E480" s="76"/>
      <c r="F480" s="76"/>
      <c r="G480" s="79"/>
      <c r="H480" s="76"/>
    </row>
    <row r="481" spans="1:8" x14ac:dyDescent="0.25">
      <c r="A481" s="94"/>
      <c r="B481" s="95"/>
      <c r="C481" s="94"/>
      <c r="D481" s="76"/>
      <c r="E481" s="76"/>
      <c r="F481" s="76"/>
      <c r="G481" s="79"/>
      <c r="H481" s="76"/>
    </row>
    <row r="482" spans="1:8" x14ac:dyDescent="0.25">
      <c r="A482" s="94"/>
      <c r="B482" s="95"/>
      <c r="C482" s="94"/>
      <c r="D482" s="76"/>
      <c r="E482" s="76"/>
      <c r="F482" s="76"/>
      <c r="G482" s="79"/>
      <c r="H482" s="76"/>
    </row>
    <row r="483" spans="1:8" x14ac:dyDescent="0.25">
      <c r="A483" s="94"/>
      <c r="B483" s="95"/>
      <c r="C483" s="94"/>
      <c r="D483" s="76"/>
      <c r="E483" s="76"/>
      <c r="F483" s="76"/>
      <c r="G483" s="79"/>
      <c r="H483" s="76"/>
    </row>
    <row r="484" spans="1:8" x14ac:dyDescent="0.25">
      <c r="A484" s="94"/>
      <c r="B484" s="95"/>
      <c r="C484" s="94"/>
      <c r="D484" s="76"/>
      <c r="E484" s="76"/>
      <c r="F484" s="76"/>
      <c r="G484" s="79"/>
      <c r="H484" s="76"/>
    </row>
    <row r="485" spans="1:8" x14ac:dyDescent="0.25">
      <c r="A485" s="94"/>
      <c r="B485" s="95"/>
      <c r="C485" s="94"/>
      <c r="D485" s="76"/>
      <c r="E485" s="76"/>
      <c r="F485" s="76"/>
      <c r="G485" s="79"/>
      <c r="H485" s="76"/>
    </row>
    <row r="486" spans="1:8" x14ac:dyDescent="0.25">
      <c r="A486" s="94"/>
      <c r="B486" s="95"/>
      <c r="C486" s="94"/>
      <c r="D486" s="76"/>
      <c r="E486" s="76"/>
      <c r="F486" s="76"/>
      <c r="G486" s="79"/>
      <c r="H486" s="76"/>
    </row>
    <row r="487" spans="1:8" x14ac:dyDescent="0.25">
      <c r="A487" s="94"/>
      <c r="B487" s="95"/>
      <c r="C487" s="94"/>
      <c r="D487" s="76"/>
      <c r="E487" s="76"/>
      <c r="F487" s="76"/>
      <c r="G487" s="79"/>
      <c r="H487" s="76"/>
    </row>
    <row r="488" spans="1:8" x14ac:dyDescent="0.25">
      <c r="A488" s="94"/>
      <c r="B488" s="95"/>
      <c r="C488" s="94"/>
      <c r="D488" s="76"/>
      <c r="E488" s="76"/>
      <c r="F488" s="76"/>
      <c r="G488" s="79"/>
      <c r="H488" s="76"/>
    </row>
    <row r="489" spans="1:8" x14ac:dyDescent="0.25">
      <c r="A489" s="94"/>
      <c r="B489" s="95"/>
      <c r="C489" s="94"/>
      <c r="D489" s="76"/>
      <c r="E489" s="76"/>
      <c r="F489" s="76"/>
      <c r="G489" s="79"/>
      <c r="H489" s="76"/>
    </row>
    <row r="490" spans="1:8" x14ac:dyDescent="0.25">
      <c r="A490" s="94"/>
      <c r="B490" s="95"/>
      <c r="C490" s="94"/>
      <c r="D490" s="76"/>
      <c r="E490" s="76"/>
      <c r="F490" s="76"/>
      <c r="G490" s="79"/>
      <c r="H490" s="76"/>
    </row>
    <row r="491" spans="1:8" x14ac:dyDescent="0.25">
      <c r="A491" s="94"/>
      <c r="B491" s="95"/>
      <c r="C491" s="94"/>
      <c r="D491" s="76"/>
      <c r="E491" s="76"/>
      <c r="F491" s="76"/>
      <c r="G491" s="79"/>
      <c r="H491" s="76"/>
    </row>
    <row r="492" spans="1:8" x14ac:dyDescent="0.25">
      <c r="A492" s="94"/>
      <c r="B492" s="95"/>
      <c r="C492" s="94"/>
      <c r="D492" s="76"/>
      <c r="E492" s="76"/>
      <c r="F492" s="76"/>
      <c r="G492" s="79"/>
      <c r="H492" s="76"/>
    </row>
    <row r="493" spans="1:8" x14ac:dyDescent="0.25">
      <c r="A493" s="94"/>
      <c r="B493" s="95"/>
      <c r="C493" s="94"/>
      <c r="D493" s="76"/>
      <c r="E493" s="76"/>
      <c r="F493" s="76"/>
      <c r="G493" s="79"/>
      <c r="H493" s="76"/>
    </row>
    <row r="494" spans="1:8" x14ac:dyDescent="0.25">
      <c r="A494" s="94"/>
      <c r="B494" s="95"/>
      <c r="C494" s="94"/>
      <c r="D494" s="76"/>
      <c r="E494" s="76"/>
      <c r="F494" s="76"/>
      <c r="G494" s="79"/>
      <c r="H494" s="76"/>
    </row>
    <row r="495" spans="1:8" x14ac:dyDescent="0.25">
      <c r="A495" s="94"/>
      <c r="B495" s="95"/>
      <c r="C495" s="94"/>
      <c r="D495" s="76"/>
      <c r="E495" s="76"/>
      <c r="F495" s="76"/>
      <c r="G495" s="79"/>
      <c r="H495" s="76"/>
    </row>
    <row r="496" spans="1:8" x14ac:dyDescent="0.25">
      <c r="A496" s="94"/>
      <c r="B496" s="95"/>
      <c r="C496" s="94"/>
      <c r="D496" s="76"/>
      <c r="E496" s="76"/>
      <c r="F496" s="76"/>
      <c r="G496" s="79"/>
      <c r="H496" s="76"/>
    </row>
    <row r="497" spans="1:8" x14ac:dyDescent="0.25">
      <c r="A497" s="94"/>
      <c r="B497" s="95"/>
      <c r="C497" s="94"/>
      <c r="D497" s="76"/>
      <c r="E497" s="76"/>
      <c r="F497" s="76"/>
      <c r="G497" s="79"/>
      <c r="H497" s="76"/>
    </row>
    <row r="498" spans="1:8" x14ac:dyDescent="0.25">
      <c r="A498" s="94"/>
      <c r="B498" s="95"/>
      <c r="C498" s="94"/>
      <c r="D498" s="76"/>
      <c r="E498" s="76"/>
      <c r="F498" s="76"/>
      <c r="G498" s="79"/>
      <c r="H498" s="76"/>
    </row>
    <row r="499" spans="1:8" x14ac:dyDescent="0.25">
      <c r="A499" s="94"/>
      <c r="B499" s="95"/>
      <c r="C499" s="94"/>
      <c r="D499" s="76"/>
      <c r="E499" s="76"/>
      <c r="F499" s="76"/>
      <c r="G499" s="79"/>
      <c r="H499" s="76"/>
    </row>
    <row r="500" spans="1:8" x14ac:dyDescent="0.25">
      <c r="A500" s="94"/>
      <c r="B500" s="95"/>
      <c r="C500" s="94"/>
      <c r="D500" s="76"/>
      <c r="E500" s="76"/>
      <c r="F500" s="76"/>
      <c r="G500" s="79"/>
      <c r="H500" s="76"/>
    </row>
    <row r="501" spans="1:8" x14ac:dyDescent="0.25">
      <c r="A501" s="94"/>
      <c r="B501" s="95"/>
      <c r="C501" s="94"/>
      <c r="D501" s="76"/>
      <c r="E501" s="76"/>
      <c r="F501" s="76"/>
      <c r="G501" s="79"/>
      <c r="H501" s="76"/>
    </row>
    <row r="502" spans="1:8" x14ac:dyDescent="0.25">
      <c r="A502" s="94"/>
      <c r="B502" s="95"/>
      <c r="C502" s="94"/>
      <c r="D502" s="76"/>
      <c r="E502" s="76"/>
      <c r="F502" s="76"/>
      <c r="G502" s="79"/>
      <c r="H502" s="76"/>
    </row>
    <row r="503" spans="1:8" x14ac:dyDescent="0.25">
      <c r="A503" s="94"/>
      <c r="B503" s="95"/>
      <c r="C503" s="94"/>
      <c r="D503" s="76"/>
      <c r="E503" s="76"/>
      <c r="F503" s="76"/>
      <c r="G503" s="79"/>
      <c r="H503" s="76"/>
    </row>
    <row r="504" spans="1:8" x14ac:dyDescent="0.25">
      <c r="A504" s="94"/>
      <c r="B504" s="95"/>
      <c r="C504" s="94"/>
      <c r="D504" s="76"/>
      <c r="E504" s="76"/>
      <c r="F504" s="76"/>
      <c r="G504" s="79"/>
      <c r="H504" s="76"/>
    </row>
    <row r="505" spans="1:8" x14ac:dyDescent="0.25">
      <c r="A505" s="94"/>
      <c r="B505" s="95"/>
      <c r="C505" s="94"/>
      <c r="D505" s="76"/>
      <c r="E505" s="76"/>
      <c r="F505" s="76"/>
      <c r="G505" s="79"/>
      <c r="H505" s="76"/>
    </row>
    <row r="506" spans="1:8" x14ac:dyDescent="0.25">
      <c r="A506" s="94"/>
      <c r="B506" s="95"/>
      <c r="C506" s="94"/>
      <c r="D506" s="76"/>
      <c r="E506" s="76"/>
      <c r="F506" s="76"/>
      <c r="G506" s="79"/>
      <c r="H506" s="76"/>
    </row>
    <row r="507" spans="1:8" x14ac:dyDescent="0.25">
      <c r="A507" s="94"/>
      <c r="B507" s="95"/>
      <c r="C507" s="94"/>
      <c r="D507" s="76"/>
      <c r="E507" s="76"/>
      <c r="F507" s="76"/>
      <c r="G507" s="79"/>
      <c r="H507" s="76"/>
    </row>
    <row r="508" spans="1:8" x14ac:dyDescent="0.25">
      <c r="A508" s="94"/>
      <c r="B508" s="95"/>
      <c r="C508" s="94"/>
      <c r="D508" s="76"/>
      <c r="E508" s="76"/>
      <c r="F508" s="76"/>
      <c r="G508" s="79"/>
      <c r="H508" s="76"/>
    </row>
    <row r="509" spans="1:8" x14ac:dyDescent="0.25">
      <c r="A509" s="94"/>
      <c r="B509" s="95"/>
      <c r="C509" s="94"/>
      <c r="D509" s="76"/>
      <c r="E509" s="76"/>
      <c r="F509" s="76"/>
      <c r="G509" s="79"/>
      <c r="H509" s="76"/>
    </row>
    <row r="510" spans="1:8" x14ac:dyDescent="0.25">
      <c r="A510" s="94"/>
      <c r="B510" s="95"/>
      <c r="C510" s="94"/>
      <c r="D510" s="76"/>
      <c r="E510" s="76"/>
      <c r="F510" s="76"/>
      <c r="G510" s="79"/>
      <c r="H510" s="76"/>
    </row>
    <row r="511" spans="1:8" x14ac:dyDescent="0.25">
      <c r="A511" s="94"/>
      <c r="B511" s="95"/>
      <c r="C511" s="94"/>
      <c r="D511" s="76"/>
      <c r="E511" s="76"/>
      <c r="F511" s="76"/>
      <c r="G511" s="79"/>
      <c r="H511" s="76"/>
    </row>
    <row r="512" spans="1:8" x14ac:dyDescent="0.25">
      <c r="A512" s="94"/>
      <c r="B512" s="95"/>
      <c r="C512" s="94"/>
      <c r="D512" s="76"/>
      <c r="E512" s="76"/>
      <c r="F512" s="76"/>
      <c r="G512" s="79"/>
      <c r="H512" s="76"/>
    </row>
    <row r="513" spans="1:8" x14ac:dyDescent="0.25">
      <c r="A513" s="94"/>
      <c r="B513" s="95"/>
      <c r="C513" s="94"/>
      <c r="D513" s="76"/>
      <c r="E513" s="76"/>
      <c r="F513" s="76"/>
      <c r="G513" s="79"/>
      <c r="H513" s="76"/>
    </row>
    <row r="514" spans="1:8" x14ac:dyDescent="0.25">
      <c r="A514" s="94"/>
      <c r="B514" s="95"/>
      <c r="C514" s="94"/>
      <c r="D514" s="76"/>
      <c r="E514" s="76"/>
      <c r="F514" s="76"/>
      <c r="G514" s="79"/>
      <c r="H514" s="76"/>
    </row>
    <row r="515" spans="1:8" x14ac:dyDescent="0.25">
      <c r="A515" s="94"/>
      <c r="B515" s="95"/>
      <c r="C515" s="94"/>
      <c r="D515" s="76"/>
      <c r="E515" s="76"/>
      <c r="F515" s="76"/>
      <c r="G515" s="79"/>
      <c r="H515" s="76"/>
    </row>
    <row r="516" spans="1:8" x14ac:dyDescent="0.25">
      <c r="A516" s="94"/>
      <c r="B516" s="95"/>
      <c r="C516" s="94"/>
      <c r="D516" s="76"/>
      <c r="E516" s="76"/>
      <c r="F516" s="76"/>
      <c r="G516" s="79"/>
      <c r="H516" s="76"/>
    </row>
    <row r="517" spans="1:8" x14ac:dyDescent="0.25">
      <c r="A517" s="94"/>
      <c r="B517" s="95"/>
      <c r="C517" s="94"/>
      <c r="D517" s="76"/>
      <c r="E517" s="76"/>
      <c r="F517" s="76"/>
      <c r="G517" s="79"/>
      <c r="H517" s="76"/>
    </row>
    <row r="518" spans="1:8" x14ac:dyDescent="0.25">
      <c r="A518" s="94"/>
      <c r="B518" s="95"/>
      <c r="C518" s="94"/>
      <c r="D518" s="76"/>
      <c r="E518" s="76"/>
      <c r="F518" s="76"/>
      <c r="G518" s="79"/>
      <c r="H518" s="76"/>
    </row>
    <row r="519" spans="1:8" x14ac:dyDescent="0.25">
      <c r="A519" s="94"/>
      <c r="B519" s="95"/>
      <c r="C519" s="94"/>
      <c r="D519" s="76"/>
      <c r="E519" s="76"/>
      <c r="F519" s="76"/>
      <c r="G519" s="79"/>
      <c r="H519" s="76"/>
    </row>
    <row r="520" spans="1:8" x14ac:dyDescent="0.25">
      <c r="A520" s="94"/>
      <c r="B520" s="95"/>
      <c r="C520" s="94"/>
      <c r="D520" s="76"/>
      <c r="E520" s="76"/>
      <c r="F520" s="76"/>
      <c r="G520" s="79"/>
      <c r="H520" s="76"/>
    </row>
    <row r="521" spans="1:8" x14ac:dyDescent="0.25">
      <c r="A521" s="94"/>
      <c r="B521" s="95"/>
      <c r="C521" s="94"/>
      <c r="D521" s="76"/>
      <c r="E521" s="76"/>
      <c r="F521" s="76"/>
      <c r="G521" s="79"/>
      <c r="H521" s="76"/>
    </row>
    <row r="522" spans="1:8" x14ac:dyDescent="0.25">
      <c r="A522" s="94"/>
      <c r="B522" s="95"/>
      <c r="C522" s="94"/>
      <c r="D522" s="76"/>
      <c r="E522" s="76"/>
      <c r="F522" s="76"/>
      <c r="G522" s="79"/>
      <c r="H522" s="76"/>
    </row>
    <row r="523" spans="1:8" x14ac:dyDescent="0.25">
      <c r="A523" s="94"/>
      <c r="B523" s="95"/>
      <c r="C523" s="94"/>
      <c r="D523" s="76"/>
      <c r="E523" s="76"/>
      <c r="F523" s="76"/>
      <c r="G523" s="79"/>
      <c r="H523" s="76"/>
    </row>
    <row r="524" spans="1:8" x14ac:dyDescent="0.25">
      <c r="A524" s="94"/>
      <c r="B524" s="95"/>
      <c r="C524" s="94"/>
      <c r="D524" s="76"/>
      <c r="E524" s="76"/>
      <c r="F524" s="76"/>
      <c r="G524" s="79"/>
      <c r="H524" s="76"/>
    </row>
    <row r="525" spans="1:8" x14ac:dyDescent="0.25">
      <c r="A525" s="94"/>
      <c r="B525" s="95"/>
      <c r="C525" s="94"/>
      <c r="D525" s="76"/>
      <c r="E525" s="76"/>
      <c r="F525" s="76"/>
      <c r="G525" s="79"/>
      <c r="H525" s="76"/>
    </row>
    <row r="526" spans="1:8" x14ac:dyDescent="0.25">
      <c r="A526" s="94"/>
      <c r="B526" s="95"/>
      <c r="C526" s="94"/>
      <c r="D526" s="76"/>
      <c r="E526" s="76"/>
      <c r="F526" s="76"/>
      <c r="G526" s="79"/>
      <c r="H526" s="76"/>
    </row>
    <row r="527" spans="1:8" x14ac:dyDescent="0.25">
      <c r="A527" s="94"/>
      <c r="B527" s="95"/>
      <c r="C527" s="94"/>
      <c r="D527" s="76"/>
      <c r="E527" s="76"/>
      <c r="F527" s="76"/>
      <c r="G527" s="79"/>
      <c r="H527" s="76"/>
    </row>
    <row r="528" spans="1:8" x14ac:dyDescent="0.25">
      <c r="A528" s="94"/>
      <c r="B528" s="95"/>
      <c r="C528" s="94"/>
      <c r="D528" s="76"/>
      <c r="E528" s="76"/>
      <c r="F528" s="76"/>
      <c r="G528" s="79"/>
      <c r="H528" s="76"/>
    </row>
    <row r="529" spans="1:8" x14ac:dyDescent="0.25">
      <c r="A529" s="94"/>
      <c r="B529" s="95"/>
      <c r="C529" s="94"/>
      <c r="D529" s="76"/>
      <c r="E529" s="76"/>
      <c r="F529" s="76"/>
      <c r="G529" s="79"/>
      <c r="H529" s="76"/>
    </row>
    <row r="530" spans="1:8" x14ac:dyDescent="0.25">
      <c r="A530" s="94"/>
      <c r="B530" s="95"/>
      <c r="C530" s="94"/>
      <c r="D530" s="76"/>
      <c r="E530" s="76"/>
      <c r="F530" s="76"/>
      <c r="G530" s="79"/>
      <c r="H530" s="76"/>
    </row>
    <row r="531" spans="1:8" x14ac:dyDescent="0.25">
      <c r="A531" s="94"/>
      <c r="B531" s="95"/>
      <c r="C531" s="94"/>
      <c r="D531" s="76"/>
      <c r="E531" s="76"/>
      <c r="F531" s="76"/>
      <c r="G531" s="79"/>
      <c r="H531" s="76"/>
    </row>
    <row r="532" spans="1:8" x14ac:dyDescent="0.25">
      <c r="A532" s="94"/>
      <c r="B532" s="95"/>
      <c r="C532" s="94"/>
      <c r="D532" s="76"/>
      <c r="E532" s="76"/>
      <c r="F532" s="76"/>
      <c r="G532" s="79"/>
      <c r="H532" s="76"/>
    </row>
    <row r="533" spans="1:8" x14ac:dyDescent="0.25">
      <c r="A533" s="94"/>
      <c r="B533" s="95"/>
      <c r="C533" s="94"/>
      <c r="D533" s="76"/>
      <c r="E533" s="76"/>
      <c r="F533" s="76"/>
      <c r="G533" s="79"/>
      <c r="H533" s="76"/>
    </row>
    <row r="534" spans="1:8" x14ac:dyDescent="0.25">
      <c r="A534" s="94"/>
      <c r="B534" s="95"/>
      <c r="C534" s="94"/>
      <c r="D534" s="76"/>
      <c r="E534" s="76"/>
      <c r="F534" s="76"/>
      <c r="G534" s="79"/>
      <c r="H534" s="76"/>
    </row>
    <row r="535" spans="1:8" x14ac:dyDescent="0.25">
      <c r="A535" s="94"/>
      <c r="B535" s="95"/>
      <c r="C535" s="94"/>
      <c r="D535" s="76"/>
      <c r="E535" s="76"/>
      <c r="F535" s="76"/>
      <c r="G535" s="79"/>
      <c r="H535" s="76"/>
    </row>
    <row r="536" spans="1:8" x14ac:dyDescent="0.25">
      <c r="A536" s="94"/>
      <c r="B536" s="95"/>
      <c r="C536" s="94"/>
      <c r="D536" s="76"/>
      <c r="E536" s="76"/>
      <c r="F536" s="76"/>
      <c r="G536" s="79"/>
      <c r="H536" s="76"/>
    </row>
    <row r="537" spans="1:8" x14ac:dyDescent="0.25">
      <c r="A537" s="94"/>
      <c r="B537" s="95"/>
      <c r="C537" s="94"/>
      <c r="D537" s="76"/>
      <c r="E537" s="76"/>
      <c r="F537" s="76"/>
      <c r="G537" s="79"/>
      <c r="H537" s="76"/>
    </row>
    <row r="538" spans="1:8" x14ac:dyDescent="0.25">
      <c r="A538" s="94"/>
      <c r="B538" s="95"/>
      <c r="C538" s="94"/>
      <c r="D538" s="76"/>
      <c r="E538" s="76"/>
      <c r="F538" s="76"/>
      <c r="G538" s="79"/>
      <c r="H538" s="76"/>
    </row>
    <row r="539" spans="1:8" x14ac:dyDescent="0.25">
      <c r="A539" s="94"/>
      <c r="B539" s="95"/>
      <c r="C539" s="94"/>
      <c r="D539" s="76"/>
      <c r="E539" s="76"/>
      <c r="F539" s="76"/>
      <c r="G539" s="79"/>
      <c r="H539" s="76"/>
    </row>
    <row r="540" spans="1:8" x14ac:dyDescent="0.25">
      <c r="A540" s="94"/>
      <c r="B540" s="95"/>
      <c r="C540" s="94"/>
      <c r="D540" s="76"/>
      <c r="E540" s="76"/>
      <c r="F540" s="76"/>
      <c r="G540" s="79"/>
      <c r="H540" s="76"/>
    </row>
    <row r="541" spans="1:8" x14ac:dyDescent="0.25">
      <c r="A541" s="94"/>
      <c r="B541" s="95"/>
      <c r="C541" s="94"/>
      <c r="D541" s="76"/>
      <c r="E541" s="76"/>
      <c r="F541" s="76"/>
      <c r="G541" s="79"/>
      <c r="H541" s="76"/>
    </row>
    <row r="542" spans="1:8" x14ac:dyDescent="0.25">
      <c r="A542" s="94"/>
      <c r="B542" s="95"/>
      <c r="C542" s="94"/>
      <c r="D542" s="76"/>
      <c r="E542" s="76"/>
      <c r="F542" s="76"/>
      <c r="G542" s="79"/>
      <c r="H542" s="76"/>
    </row>
    <row r="543" spans="1:8" x14ac:dyDescent="0.25">
      <c r="A543" s="94"/>
      <c r="B543" s="95"/>
      <c r="C543" s="94"/>
      <c r="D543" s="76"/>
      <c r="E543" s="76"/>
      <c r="F543" s="76"/>
      <c r="G543" s="79"/>
      <c r="H543" s="76"/>
    </row>
    <row r="544" spans="1:8" x14ac:dyDescent="0.25">
      <c r="A544" s="94"/>
      <c r="B544" s="95"/>
      <c r="C544" s="94"/>
      <c r="D544" s="76"/>
      <c r="E544" s="76"/>
      <c r="F544" s="76"/>
      <c r="G544" s="79"/>
      <c r="H544" s="76"/>
    </row>
    <row r="545" spans="1:8" x14ac:dyDescent="0.25">
      <c r="A545" s="94"/>
      <c r="B545" s="95"/>
      <c r="C545" s="94"/>
      <c r="D545" s="76"/>
      <c r="E545" s="76"/>
      <c r="F545" s="76"/>
      <c r="G545" s="79"/>
      <c r="H545" s="76"/>
    </row>
    <row r="546" spans="1:8" x14ac:dyDescent="0.25">
      <c r="A546" s="94"/>
      <c r="B546" s="95"/>
      <c r="C546" s="94"/>
      <c r="D546" s="76"/>
      <c r="E546" s="76"/>
      <c r="F546" s="76"/>
      <c r="G546" s="79"/>
      <c r="H546" s="76"/>
    </row>
    <row r="547" spans="1:8" x14ac:dyDescent="0.25">
      <c r="A547" s="94"/>
      <c r="B547" s="95"/>
      <c r="C547" s="94"/>
      <c r="D547" s="76"/>
      <c r="E547" s="76"/>
      <c r="F547" s="76"/>
      <c r="G547" s="79"/>
      <c r="H547" s="76"/>
    </row>
    <row r="548" spans="1:8" x14ac:dyDescent="0.25">
      <c r="A548" s="94"/>
      <c r="B548" s="95"/>
      <c r="C548" s="94"/>
      <c r="D548" s="76"/>
      <c r="E548" s="76"/>
      <c r="F548" s="76"/>
      <c r="G548" s="79"/>
      <c r="H548" s="76"/>
    </row>
    <row r="549" spans="1:8" x14ac:dyDescent="0.25">
      <c r="A549" s="94"/>
      <c r="B549" s="95"/>
      <c r="C549" s="94"/>
      <c r="D549" s="76"/>
      <c r="E549" s="76"/>
      <c r="F549" s="76"/>
      <c r="G549" s="79"/>
      <c r="H549" s="76"/>
    </row>
    <row r="550" spans="1:8" x14ac:dyDescent="0.25">
      <c r="A550" s="94"/>
      <c r="B550" s="95"/>
      <c r="C550" s="94"/>
      <c r="D550" s="76"/>
      <c r="E550" s="76"/>
      <c r="F550" s="76"/>
      <c r="G550" s="79"/>
      <c r="H550" s="76"/>
    </row>
    <row r="551" spans="1:8" x14ac:dyDescent="0.25">
      <c r="A551" s="94"/>
      <c r="B551" s="95"/>
      <c r="C551" s="94"/>
      <c r="D551" s="76"/>
      <c r="E551" s="76"/>
      <c r="F551" s="76"/>
      <c r="G551" s="79"/>
      <c r="H551" s="76"/>
    </row>
    <row r="552" spans="1:8" x14ac:dyDescent="0.25">
      <c r="A552" s="94"/>
      <c r="B552" s="95"/>
      <c r="C552" s="94"/>
      <c r="D552" s="76"/>
      <c r="E552" s="76"/>
      <c r="F552" s="76"/>
      <c r="G552" s="79"/>
      <c r="H552" s="76"/>
    </row>
    <row r="553" spans="1:8" x14ac:dyDescent="0.25">
      <c r="A553" s="94"/>
      <c r="B553" s="95"/>
      <c r="C553" s="94"/>
      <c r="D553" s="76"/>
      <c r="E553" s="76"/>
      <c r="F553" s="76"/>
      <c r="G553" s="79"/>
      <c r="H553" s="76"/>
    </row>
    <row r="554" spans="1:8" x14ac:dyDescent="0.25">
      <c r="A554" s="94"/>
      <c r="B554" s="95"/>
      <c r="C554" s="94"/>
      <c r="D554" s="76"/>
      <c r="E554" s="76"/>
      <c r="F554" s="76"/>
      <c r="G554" s="79"/>
      <c r="H554" s="76"/>
    </row>
    <row r="555" spans="1:8" x14ac:dyDescent="0.25">
      <c r="A555" s="94"/>
      <c r="B555" s="95"/>
      <c r="C555" s="94"/>
      <c r="D555" s="76"/>
      <c r="E555" s="76"/>
      <c r="F555" s="76"/>
      <c r="G555" s="79"/>
      <c r="H555" s="76"/>
    </row>
    <row r="556" spans="1:8" x14ac:dyDescent="0.25">
      <c r="A556" s="94"/>
      <c r="B556" s="95"/>
      <c r="C556" s="94"/>
      <c r="D556" s="76"/>
      <c r="E556" s="76"/>
      <c r="F556" s="76"/>
      <c r="G556" s="79"/>
      <c r="H556" s="76"/>
    </row>
    <row r="557" spans="1:8" x14ac:dyDescent="0.25">
      <c r="A557" s="94"/>
      <c r="B557" s="95"/>
      <c r="C557" s="94"/>
      <c r="D557" s="76"/>
      <c r="E557" s="76"/>
      <c r="F557" s="76"/>
      <c r="G557" s="79"/>
      <c r="H557" s="76"/>
    </row>
    <row r="558" spans="1:8" x14ac:dyDescent="0.25">
      <c r="A558" s="94"/>
      <c r="B558" s="95"/>
      <c r="C558" s="94"/>
      <c r="D558" s="76"/>
      <c r="E558" s="76"/>
      <c r="F558" s="76"/>
      <c r="G558" s="79"/>
      <c r="H558" s="76"/>
    </row>
    <row r="559" spans="1:8" x14ac:dyDescent="0.25">
      <c r="A559" s="94"/>
      <c r="B559" s="95"/>
      <c r="C559" s="94"/>
      <c r="D559" s="76"/>
      <c r="E559" s="76"/>
      <c r="F559" s="76"/>
      <c r="G559" s="79"/>
      <c r="H559" s="76"/>
    </row>
    <row r="560" spans="1:8" x14ac:dyDescent="0.25">
      <c r="A560" s="94"/>
      <c r="B560" s="95"/>
      <c r="C560" s="94"/>
      <c r="D560" s="76"/>
      <c r="E560" s="76"/>
      <c r="F560" s="76"/>
      <c r="G560" s="79"/>
      <c r="H560" s="76"/>
    </row>
    <row r="561" spans="1:8" x14ac:dyDescent="0.25">
      <c r="A561" s="94"/>
      <c r="B561" s="95"/>
      <c r="C561" s="94"/>
      <c r="D561" s="76"/>
      <c r="E561" s="76"/>
      <c r="F561" s="76"/>
      <c r="G561" s="79"/>
      <c r="H561" s="76"/>
    </row>
    <row r="562" spans="1:8" x14ac:dyDescent="0.25">
      <c r="A562" s="94"/>
      <c r="B562" s="95"/>
      <c r="C562" s="94"/>
      <c r="D562" s="76"/>
      <c r="E562" s="76"/>
      <c r="F562" s="76"/>
      <c r="G562" s="79"/>
      <c r="H562" s="76"/>
    </row>
    <row r="563" spans="1:8" x14ac:dyDescent="0.25">
      <c r="A563" s="94"/>
      <c r="B563" s="95"/>
      <c r="C563" s="94"/>
      <c r="D563" s="76"/>
      <c r="E563" s="76"/>
      <c r="F563" s="76"/>
      <c r="G563" s="79"/>
      <c r="H563" s="76"/>
    </row>
    <row r="564" spans="1:8" x14ac:dyDescent="0.25">
      <c r="A564" s="94"/>
      <c r="B564" s="95"/>
      <c r="C564" s="94"/>
      <c r="D564" s="76"/>
      <c r="E564" s="76"/>
      <c r="F564" s="76"/>
      <c r="G564" s="79"/>
      <c r="H564" s="76"/>
    </row>
    <row r="565" spans="1:8" x14ac:dyDescent="0.25">
      <c r="A565" s="94"/>
      <c r="B565" s="95"/>
      <c r="C565" s="94"/>
      <c r="D565" s="76"/>
      <c r="E565" s="76"/>
      <c r="F565" s="76"/>
      <c r="G565" s="79"/>
      <c r="H565" s="76"/>
    </row>
    <row r="566" spans="1:8" x14ac:dyDescent="0.25">
      <c r="A566" s="94"/>
      <c r="B566" s="95"/>
      <c r="C566" s="94"/>
      <c r="D566" s="76"/>
      <c r="E566" s="76"/>
      <c r="F566" s="76"/>
      <c r="G566" s="79"/>
      <c r="H566" s="76"/>
    </row>
    <row r="567" spans="1:8" x14ac:dyDescent="0.25">
      <c r="A567" s="94"/>
      <c r="B567" s="95"/>
      <c r="C567" s="94"/>
      <c r="D567" s="76"/>
      <c r="E567" s="76"/>
      <c r="F567" s="76"/>
      <c r="G567" s="79"/>
      <c r="H567" s="76"/>
    </row>
    <row r="568" spans="1:8" x14ac:dyDescent="0.25">
      <c r="A568" s="94"/>
      <c r="B568" s="95"/>
      <c r="C568" s="94"/>
      <c r="D568" s="76"/>
      <c r="E568" s="76"/>
      <c r="F568" s="76"/>
      <c r="G568" s="79"/>
      <c r="H568" s="76"/>
    </row>
    <row r="569" spans="1:8" x14ac:dyDescent="0.25">
      <c r="A569" s="94"/>
      <c r="B569" s="95"/>
      <c r="C569" s="94"/>
      <c r="D569" s="76"/>
      <c r="E569" s="76"/>
      <c r="F569" s="76"/>
      <c r="G569" s="79"/>
      <c r="H569" s="76"/>
    </row>
    <row r="570" spans="1:8" x14ac:dyDescent="0.25">
      <c r="A570" s="94"/>
      <c r="B570" s="95"/>
      <c r="C570" s="94"/>
      <c r="D570" s="76"/>
      <c r="E570" s="76"/>
      <c r="F570" s="76"/>
      <c r="G570" s="79"/>
      <c r="H570" s="76"/>
    </row>
    <row r="571" spans="1:8" x14ac:dyDescent="0.25">
      <c r="A571" s="94"/>
      <c r="B571" s="95"/>
      <c r="C571" s="94"/>
      <c r="D571" s="76"/>
      <c r="E571" s="76"/>
      <c r="F571" s="76"/>
      <c r="G571" s="79"/>
      <c r="H571" s="76"/>
    </row>
    <row r="572" spans="1:8" x14ac:dyDescent="0.25">
      <c r="A572" s="94"/>
      <c r="B572" s="95"/>
      <c r="C572" s="94"/>
      <c r="D572" s="76"/>
      <c r="E572" s="76"/>
      <c r="F572" s="76"/>
      <c r="G572" s="79"/>
      <c r="H572" s="76"/>
    </row>
    <row r="573" spans="1:8" x14ac:dyDescent="0.25">
      <c r="A573" s="94"/>
      <c r="B573" s="95"/>
      <c r="C573" s="94"/>
      <c r="D573" s="76"/>
      <c r="E573" s="76"/>
      <c r="F573" s="76"/>
      <c r="G573" s="79"/>
      <c r="H573" s="76"/>
    </row>
    <row r="574" spans="1:8" x14ac:dyDescent="0.25">
      <c r="A574" s="94"/>
      <c r="B574" s="95"/>
      <c r="C574" s="94"/>
      <c r="D574" s="76"/>
      <c r="E574" s="76"/>
      <c r="F574" s="76"/>
      <c r="G574" s="79"/>
      <c r="H574" s="76"/>
    </row>
    <row r="575" spans="1:8" x14ac:dyDescent="0.25">
      <c r="A575" s="94"/>
      <c r="B575" s="95"/>
      <c r="C575" s="94"/>
      <c r="D575" s="76"/>
      <c r="E575" s="76"/>
      <c r="F575" s="76"/>
      <c r="G575" s="79"/>
      <c r="H575" s="76"/>
    </row>
    <row r="576" spans="1:8" x14ac:dyDescent="0.25">
      <c r="A576" s="94"/>
      <c r="B576" s="95"/>
      <c r="C576" s="94"/>
      <c r="D576" s="76"/>
      <c r="E576" s="76"/>
      <c r="F576" s="76"/>
      <c r="G576" s="79"/>
      <c r="H576" s="76"/>
    </row>
    <row r="577" spans="1:8" x14ac:dyDescent="0.25">
      <c r="A577" s="94"/>
      <c r="B577" s="95"/>
      <c r="C577" s="94"/>
      <c r="D577" s="76"/>
      <c r="E577" s="76"/>
      <c r="F577" s="76"/>
      <c r="G577" s="79"/>
      <c r="H577" s="76"/>
    </row>
    <row r="578" spans="1:8" x14ac:dyDescent="0.25">
      <c r="A578" s="94"/>
      <c r="B578" s="95"/>
      <c r="C578" s="94"/>
      <c r="D578" s="76"/>
      <c r="E578" s="76"/>
      <c r="F578" s="76"/>
      <c r="G578" s="79"/>
      <c r="H578" s="76"/>
    </row>
    <row r="579" spans="1:8" x14ac:dyDescent="0.25">
      <c r="A579" s="94"/>
      <c r="B579" s="95"/>
      <c r="C579" s="94"/>
      <c r="D579" s="76"/>
      <c r="E579" s="76"/>
      <c r="F579" s="76"/>
      <c r="G579" s="79"/>
      <c r="H579" s="76"/>
    </row>
    <row r="580" spans="1:8" x14ac:dyDescent="0.25">
      <c r="A580" s="94"/>
      <c r="B580" s="95"/>
      <c r="C580" s="94"/>
      <c r="D580" s="76"/>
      <c r="E580" s="76"/>
      <c r="F580" s="76"/>
      <c r="G580" s="79"/>
      <c r="H580" s="76"/>
    </row>
    <row r="581" spans="1:8" x14ac:dyDescent="0.25">
      <c r="A581" s="94"/>
      <c r="B581" s="95"/>
      <c r="C581" s="94"/>
      <c r="D581" s="76"/>
      <c r="E581" s="76"/>
      <c r="F581" s="76"/>
      <c r="G581" s="79"/>
      <c r="H581" s="76"/>
    </row>
    <row r="582" spans="1:8" x14ac:dyDescent="0.25">
      <c r="A582" s="94"/>
      <c r="B582" s="95"/>
      <c r="C582" s="94"/>
      <c r="D582" s="76"/>
      <c r="E582" s="76"/>
      <c r="F582" s="76"/>
      <c r="G582" s="79"/>
      <c r="H582" s="76"/>
    </row>
    <row r="583" spans="1:8" x14ac:dyDescent="0.25">
      <c r="A583" s="94"/>
      <c r="B583" s="95"/>
      <c r="C583" s="94"/>
      <c r="D583" s="76"/>
      <c r="E583" s="76"/>
      <c r="F583" s="76"/>
      <c r="G583" s="79"/>
      <c r="H583" s="76"/>
    </row>
    <row r="584" spans="1:8" x14ac:dyDescent="0.25">
      <c r="A584" s="94"/>
      <c r="B584" s="95"/>
      <c r="C584" s="94"/>
      <c r="D584" s="76"/>
      <c r="E584" s="76"/>
      <c r="F584" s="76"/>
      <c r="G584" s="79"/>
      <c r="H584" s="76"/>
    </row>
    <row r="585" spans="1:8" x14ac:dyDescent="0.25">
      <c r="A585" s="94"/>
      <c r="B585" s="95"/>
      <c r="C585" s="94"/>
      <c r="D585" s="76"/>
      <c r="E585" s="76"/>
      <c r="F585" s="76"/>
      <c r="G585" s="79"/>
      <c r="H585" s="76"/>
    </row>
    <row r="586" spans="1:8" x14ac:dyDescent="0.25">
      <c r="A586" s="94"/>
      <c r="B586" s="95"/>
      <c r="C586" s="94"/>
      <c r="D586" s="76"/>
      <c r="E586" s="76"/>
      <c r="F586" s="76"/>
      <c r="G586" s="79"/>
      <c r="H586" s="76"/>
    </row>
    <row r="587" spans="1:8" x14ac:dyDescent="0.25">
      <c r="A587" s="94"/>
      <c r="B587" s="95"/>
      <c r="C587" s="94"/>
      <c r="D587" s="76"/>
      <c r="E587" s="76"/>
      <c r="F587" s="76"/>
      <c r="G587" s="79"/>
      <c r="H587" s="76"/>
    </row>
    <row r="588" spans="1:8" x14ac:dyDescent="0.25">
      <c r="A588" s="94"/>
      <c r="B588" s="95"/>
      <c r="C588" s="94"/>
      <c r="D588" s="76"/>
      <c r="E588" s="76"/>
      <c r="F588" s="76"/>
      <c r="G588" s="79"/>
      <c r="H588" s="76"/>
    </row>
    <row r="589" spans="1:8" x14ac:dyDescent="0.25">
      <c r="A589" s="94"/>
      <c r="B589" s="95"/>
      <c r="C589" s="94"/>
      <c r="D589" s="76"/>
      <c r="E589" s="76"/>
      <c r="F589" s="76"/>
      <c r="G589" s="79"/>
      <c r="H589" s="76"/>
    </row>
    <row r="590" spans="1:8" x14ac:dyDescent="0.25">
      <c r="A590" s="94"/>
      <c r="B590" s="95"/>
      <c r="C590" s="94"/>
      <c r="D590" s="76"/>
      <c r="E590" s="76"/>
      <c r="F590" s="76"/>
      <c r="G590" s="79"/>
      <c r="H590" s="76"/>
    </row>
    <row r="591" spans="1:8" x14ac:dyDescent="0.25">
      <c r="A591" s="94"/>
      <c r="B591" s="95"/>
      <c r="C591" s="94"/>
      <c r="D591" s="76"/>
      <c r="E591" s="76"/>
      <c r="F591" s="76"/>
      <c r="G591" s="79"/>
      <c r="H591" s="76"/>
    </row>
    <row r="592" spans="1:8" x14ac:dyDescent="0.25">
      <c r="A592" s="94"/>
      <c r="B592" s="95"/>
      <c r="C592" s="94"/>
      <c r="D592" s="76"/>
      <c r="E592" s="76"/>
      <c r="F592" s="76"/>
      <c r="G592" s="79"/>
      <c r="H592" s="76"/>
    </row>
    <row r="593" spans="1:8" x14ac:dyDescent="0.25">
      <c r="A593" s="94"/>
      <c r="B593" s="95"/>
      <c r="C593" s="94"/>
      <c r="D593" s="76"/>
      <c r="E593" s="76"/>
      <c r="F593" s="76"/>
      <c r="G593" s="79"/>
      <c r="H593" s="76"/>
    </row>
    <row r="594" spans="1:8" x14ac:dyDescent="0.25">
      <c r="A594" s="94"/>
      <c r="B594" s="95"/>
      <c r="C594" s="94"/>
      <c r="D594" s="76"/>
      <c r="E594" s="76"/>
      <c r="F594" s="76"/>
      <c r="G594" s="79"/>
      <c r="H594" s="76"/>
    </row>
    <row r="595" spans="1:8" x14ac:dyDescent="0.25">
      <c r="A595" s="94"/>
      <c r="B595" s="95"/>
      <c r="C595" s="94"/>
      <c r="D595" s="76"/>
      <c r="E595" s="76"/>
      <c r="F595" s="76"/>
      <c r="G595" s="79"/>
      <c r="H595" s="76"/>
    </row>
    <row r="596" spans="1:8" x14ac:dyDescent="0.25">
      <c r="A596" s="94"/>
      <c r="B596" s="95"/>
      <c r="C596" s="94"/>
      <c r="D596" s="76"/>
      <c r="E596" s="76"/>
      <c r="F596" s="76"/>
      <c r="G596" s="79"/>
      <c r="H596" s="76"/>
    </row>
    <row r="597" spans="1:8" x14ac:dyDescent="0.25">
      <c r="A597" s="94"/>
      <c r="B597" s="95"/>
      <c r="C597" s="94"/>
      <c r="D597" s="76"/>
      <c r="E597" s="76"/>
      <c r="F597" s="76"/>
      <c r="G597" s="79"/>
      <c r="H597" s="76"/>
    </row>
    <row r="598" spans="1:8" x14ac:dyDescent="0.25">
      <c r="A598" s="94"/>
      <c r="B598" s="95"/>
      <c r="C598" s="94"/>
      <c r="D598" s="76"/>
      <c r="E598" s="76"/>
      <c r="F598" s="76"/>
      <c r="G598" s="79"/>
      <c r="H598" s="76"/>
    </row>
    <row r="599" spans="1:8" x14ac:dyDescent="0.25">
      <c r="A599" s="94"/>
      <c r="B599" s="95"/>
      <c r="C599" s="94"/>
      <c r="D599" s="76"/>
      <c r="E599" s="76"/>
      <c r="F599" s="76"/>
      <c r="G599" s="79"/>
      <c r="H599" s="76"/>
    </row>
    <row r="600" spans="1:8" x14ac:dyDescent="0.25">
      <c r="A600" s="94"/>
      <c r="B600" s="95"/>
      <c r="C600" s="94"/>
      <c r="D600" s="76"/>
      <c r="E600" s="76"/>
      <c r="F600" s="76"/>
      <c r="G600" s="79"/>
      <c r="H600" s="76"/>
    </row>
    <row r="601" spans="1:8" x14ac:dyDescent="0.25">
      <c r="A601" s="94"/>
      <c r="B601" s="95"/>
      <c r="C601" s="94"/>
      <c r="D601" s="76"/>
      <c r="E601" s="76"/>
      <c r="F601" s="76"/>
      <c r="G601" s="79"/>
      <c r="H601" s="76"/>
    </row>
    <row r="602" spans="1:8" x14ac:dyDescent="0.25">
      <c r="A602" s="94"/>
      <c r="B602" s="95"/>
      <c r="C602" s="94"/>
      <c r="D602" s="76"/>
      <c r="E602" s="76"/>
      <c r="F602" s="76"/>
      <c r="G602" s="79"/>
      <c r="H602" s="76"/>
    </row>
    <row r="603" spans="1:8" x14ac:dyDescent="0.25">
      <c r="A603" s="94"/>
      <c r="B603" s="95"/>
      <c r="C603" s="94"/>
      <c r="D603" s="76"/>
      <c r="E603" s="76"/>
      <c r="F603" s="76"/>
      <c r="G603" s="79"/>
      <c r="H603" s="76"/>
    </row>
    <row r="604" spans="1:8" x14ac:dyDescent="0.25">
      <c r="A604" s="94"/>
      <c r="B604" s="95"/>
      <c r="C604" s="94"/>
      <c r="D604" s="76"/>
      <c r="E604" s="76"/>
      <c r="F604" s="76"/>
      <c r="G604" s="79"/>
      <c r="H604" s="76"/>
    </row>
    <row r="605" spans="1:8" x14ac:dyDescent="0.25">
      <c r="A605" s="94"/>
      <c r="B605" s="95"/>
      <c r="C605" s="94"/>
      <c r="D605" s="76"/>
      <c r="E605" s="76"/>
      <c r="F605" s="76"/>
      <c r="G605" s="79"/>
      <c r="H605" s="76"/>
    </row>
    <row r="606" spans="1:8" x14ac:dyDescent="0.25">
      <c r="A606" s="94"/>
      <c r="B606" s="95"/>
      <c r="C606" s="94"/>
      <c r="D606" s="76"/>
      <c r="E606" s="76"/>
      <c r="F606" s="76"/>
      <c r="G606" s="79"/>
      <c r="H606" s="76"/>
    </row>
    <row r="607" spans="1:8" x14ac:dyDescent="0.25">
      <c r="A607" s="94"/>
      <c r="B607" s="95"/>
      <c r="C607" s="94"/>
      <c r="D607" s="76"/>
      <c r="E607" s="76"/>
      <c r="F607" s="76"/>
      <c r="G607" s="79"/>
      <c r="H607" s="76"/>
    </row>
    <row r="608" spans="1:8" x14ac:dyDescent="0.25">
      <c r="A608" s="94"/>
      <c r="B608" s="95"/>
      <c r="C608" s="94"/>
      <c r="D608" s="76"/>
      <c r="E608" s="76"/>
      <c r="F608" s="76"/>
      <c r="G608" s="79"/>
      <c r="H608" s="76"/>
    </row>
    <row r="609" spans="1:8" x14ac:dyDescent="0.25">
      <c r="A609" s="94"/>
      <c r="B609" s="95"/>
      <c r="C609" s="94"/>
      <c r="D609" s="76"/>
      <c r="E609" s="76"/>
      <c r="F609" s="76"/>
      <c r="G609" s="79"/>
      <c r="H609" s="76"/>
    </row>
    <row r="610" spans="1:8" x14ac:dyDescent="0.25">
      <c r="A610" s="94"/>
      <c r="B610" s="95"/>
      <c r="C610" s="94"/>
      <c r="D610" s="76"/>
      <c r="E610" s="76"/>
      <c r="F610" s="76"/>
      <c r="G610" s="79"/>
      <c r="H610" s="76"/>
    </row>
    <row r="611" spans="1:8" x14ac:dyDescent="0.25">
      <c r="A611" s="94"/>
      <c r="B611" s="95"/>
      <c r="C611" s="94"/>
      <c r="D611" s="76"/>
      <c r="E611" s="76"/>
      <c r="F611" s="76"/>
      <c r="G611" s="79"/>
      <c r="H611" s="76"/>
    </row>
    <row r="612" spans="1:8" x14ac:dyDescent="0.25">
      <c r="A612" s="94"/>
      <c r="B612" s="95"/>
      <c r="C612" s="94"/>
      <c r="D612" s="76"/>
      <c r="E612" s="76"/>
      <c r="F612" s="76"/>
      <c r="G612" s="79"/>
      <c r="H612" s="76"/>
    </row>
    <row r="613" spans="1:8" x14ac:dyDescent="0.25">
      <c r="A613" s="94"/>
      <c r="B613" s="95"/>
      <c r="C613" s="94"/>
      <c r="D613" s="76"/>
      <c r="E613" s="76"/>
      <c r="F613" s="76"/>
      <c r="G613" s="79"/>
      <c r="H613" s="76"/>
    </row>
    <row r="614" spans="1:8" x14ac:dyDescent="0.25">
      <c r="A614" s="94"/>
      <c r="B614" s="95"/>
      <c r="C614" s="94"/>
      <c r="D614" s="76"/>
      <c r="E614" s="76"/>
      <c r="F614" s="76"/>
      <c r="G614" s="79"/>
      <c r="H614" s="76"/>
    </row>
    <row r="615" spans="1:8" x14ac:dyDescent="0.25">
      <c r="A615" s="94"/>
      <c r="B615" s="95"/>
      <c r="C615" s="94"/>
      <c r="D615" s="76"/>
      <c r="E615" s="76"/>
      <c r="F615" s="76"/>
      <c r="G615" s="79"/>
      <c r="H615" s="76"/>
    </row>
    <row r="616" spans="1:8" x14ac:dyDescent="0.25">
      <c r="A616" s="94"/>
      <c r="B616" s="95"/>
      <c r="C616" s="94"/>
      <c r="D616" s="76"/>
      <c r="E616" s="76"/>
      <c r="F616" s="76"/>
      <c r="G616" s="79"/>
      <c r="H616" s="76"/>
    </row>
    <row r="617" spans="1:8" x14ac:dyDescent="0.25">
      <c r="A617" s="94"/>
      <c r="B617" s="95"/>
      <c r="C617" s="94"/>
      <c r="D617" s="76"/>
      <c r="E617" s="76"/>
      <c r="F617" s="76"/>
      <c r="G617" s="79"/>
      <c r="H617" s="76"/>
    </row>
    <row r="618" spans="1:8" x14ac:dyDescent="0.25">
      <c r="A618" s="94"/>
      <c r="B618" s="95"/>
      <c r="C618" s="94"/>
      <c r="D618" s="76"/>
      <c r="E618" s="76"/>
      <c r="F618" s="76"/>
      <c r="G618" s="79"/>
      <c r="H618" s="76"/>
    </row>
    <row r="619" spans="1:8" x14ac:dyDescent="0.25">
      <c r="A619" s="94"/>
      <c r="B619" s="95"/>
      <c r="C619" s="94"/>
      <c r="D619" s="76"/>
      <c r="E619" s="76"/>
      <c r="F619" s="76"/>
      <c r="G619" s="79"/>
      <c r="H619" s="76"/>
    </row>
    <row r="620" spans="1:8" x14ac:dyDescent="0.25">
      <c r="A620" s="94"/>
      <c r="B620" s="95"/>
      <c r="C620" s="94"/>
      <c r="D620" s="76"/>
      <c r="E620" s="76"/>
      <c r="F620" s="76"/>
      <c r="G620" s="79"/>
      <c r="H620" s="76"/>
    </row>
    <row r="621" spans="1:8" x14ac:dyDescent="0.25">
      <c r="A621" s="94"/>
      <c r="B621" s="95"/>
      <c r="C621" s="94"/>
      <c r="D621" s="76"/>
      <c r="E621" s="76"/>
      <c r="F621" s="76"/>
      <c r="G621" s="79"/>
      <c r="H621" s="76"/>
    </row>
    <row r="622" spans="1:8" x14ac:dyDescent="0.25">
      <c r="A622" s="94"/>
      <c r="B622" s="95"/>
      <c r="C622" s="94"/>
      <c r="D622" s="76"/>
      <c r="E622" s="76"/>
      <c r="F622" s="76"/>
      <c r="G622" s="79"/>
      <c r="H622" s="76"/>
    </row>
    <row r="623" spans="1:8" x14ac:dyDescent="0.25">
      <c r="A623" s="94"/>
      <c r="B623" s="95"/>
      <c r="C623" s="94"/>
      <c r="D623" s="76"/>
      <c r="E623" s="76"/>
      <c r="F623" s="76"/>
      <c r="G623" s="79"/>
      <c r="H623" s="76"/>
    </row>
    <row r="624" spans="1:8" x14ac:dyDescent="0.25">
      <c r="A624" s="94"/>
      <c r="B624" s="95"/>
      <c r="C624" s="94"/>
      <c r="D624" s="76"/>
      <c r="E624" s="76"/>
      <c r="F624" s="76"/>
      <c r="G624" s="79"/>
      <c r="H624" s="76"/>
    </row>
    <row r="625" spans="1:8" x14ac:dyDescent="0.25">
      <c r="A625" s="94"/>
      <c r="B625" s="95"/>
      <c r="C625" s="94"/>
      <c r="D625" s="76"/>
      <c r="E625" s="76"/>
      <c r="F625" s="76"/>
      <c r="G625" s="79"/>
      <c r="H625" s="76"/>
    </row>
    <row r="626" spans="1:8" x14ac:dyDescent="0.25">
      <c r="A626" s="94"/>
      <c r="B626" s="95"/>
      <c r="C626" s="94"/>
      <c r="D626" s="76"/>
      <c r="E626" s="76"/>
      <c r="F626" s="76"/>
      <c r="G626" s="79"/>
      <c r="H626" s="76"/>
    </row>
    <row r="627" spans="1:8" x14ac:dyDescent="0.25">
      <c r="A627" s="94"/>
      <c r="B627" s="95"/>
      <c r="C627" s="94"/>
      <c r="D627" s="76"/>
      <c r="E627" s="76"/>
      <c r="F627" s="76"/>
      <c r="G627" s="79"/>
      <c r="H627" s="76"/>
    </row>
    <row r="628" spans="1:8" x14ac:dyDescent="0.25">
      <c r="A628" s="94"/>
      <c r="B628" s="95"/>
      <c r="C628" s="94"/>
      <c r="D628" s="76"/>
      <c r="E628" s="76"/>
      <c r="F628" s="76"/>
      <c r="G628" s="79"/>
      <c r="H628" s="76"/>
    </row>
    <row r="629" spans="1:8" x14ac:dyDescent="0.25">
      <c r="A629" s="94"/>
      <c r="B629" s="95"/>
      <c r="C629" s="94"/>
      <c r="D629" s="76"/>
      <c r="E629" s="76"/>
      <c r="F629" s="76"/>
      <c r="G629" s="79"/>
      <c r="H629" s="76"/>
    </row>
    <row r="630" spans="1:8" x14ac:dyDescent="0.25">
      <c r="A630" s="94"/>
      <c r="B630" s="95"/>
      <c r="C630" s="94"/>
      <c r="D630" s="76"/>
      <c r="E630" s="76"/>
      <c r="F630" s="76"/>
      <c r="G630" s="79"/>
      <c r="H630" s="76"/>
    </row>
    <row r="631" spans="1:8" x14ac:dyDescent="0.25">
      <c r="A631" s="94"/>
      <c r="B631" s="95"/>
      <c r="C631" s="94"/>
      <c r="D631" s="76"/>
      <c r="E631" s="76"/>
      <c r="F631" s="76"/>
      <c r="G631" s="79"/>
      <c r="H631" s="76"/>
    </row>
    <row r="632" spans="1:8" x14ac:dyDescent="0.25">
      <c r="A632" s="94"/>
      <c r="B632" s="95"/>
      <c r="C632" s="94"/>
      <c r="D632" s="76"/>
      <c r="E632" s="76"/>
      <c r="F632" s="76"/>
      <c r="G632" s="79"/>
      <c r="H632" s="76"/>
    </row>
    <row r="633" spans="1:8" x14ac:dyDescent="0.25">
      <c r="A633" s="94"/>
      <c r="B633" s="95"/>
      <c r="C633" s="94"/>
      <c r="D633" s="76"/>
      <c r="E633" s="76"/>
      <c r="F633" s="76"/>
      <c r="G633" s="79"/>
      <c r="H633" s="76"/>
    </row>
    <row r="634" spans="1:8" x14ac:dyDescent="0.25">
      <c r="A634" s="94"/>
      <c r="B634" s="95"/>
      <c r="C634" s="94"/>
      <c r="D634" s="76"/>
      <c r="E634" s="76"/>
      <c r="F634" s="76"/>
      <c r="G634" s="79"/>
      <c r="H634" s="76"/>
    </row>
    <row r="635" spans="1:8" x14ac:dyDescent="0.25">
      <c r="A635" s="94"/>
      <c r="B635" s="95"/>
      <c r="C635" s="94"/>
      <c r="D635" s="76"/>
      <c r="E635" s="76"/>
      <c r="F635" s="76"/>
      <c r="G635" s="79"/>
      <c r="H635" s="76"/>
    </row>
    <row r="636" spans="1:8" x14ac:dyDescent="0.25">
      <c r="A636" s="94"/>
      <c r="B636" s="95"/>
      <c r="C636" s="94"/>
      <c r="D636" s="76"/>
      <c r="E636" s="76"/>
      <c r="F636" s="76"/>
      <c r="G636" s="79"/>
      <c r="H636" s="76"/>
    </row>
    <row r="637" spans="1:8" x14ac:dyDescent="0.25">
      <c r="A637" s="94"/>
      <c r="B637" s="95"/>
      <c r="C637" s="94"/>
      <c r="D637" s="76"/>
      <c r="E637" s="76"/>
      <c r="F637" s="76"/>
      <c r="G637" s="79"/>
      <c r="H637" s="76"/>
    </row>
    <row r="638" spans="1:8" x14ac:dyDescent="0.25">
      <c r="A638" s="94"/>
      <c r="B638" s="95"/>
      <c r="C638" s="94"/>
      <c r="D638" s="76"/>
      <c r="E638" s="76"/>
      <c r="F638" s="76"/>
      <c r="G638" s="79"/>
      <c r="H638" s="76"/>
    </row>
    <row r="639" spans="1:8" x14ac:dyDescent="0.25">
      <c r="A639" s="94"/>
      <c r="B639" s="95"/>
      <c r="C639" s="94"/>
      <c r="D639" s="76"/>
      <c r="E639" s="76"/>
      <c r="F639" s="76"/>
      <c r="G639" s="79"/>
      <c r="H639" s="76"/>
    </row>
    <row r="640" spans="1:8" x14ac:dyDescent="0.25">
      <c r="A640" s="94"/>
      <c r="B640" s="95"/>
      <c r="C640" s="94"/>
      <c r="D640" s="76"/>
      <c r="E640" s="76"/>
      <c r="F640" s="76"/>
      <c r="G640" s="79"/>
      <c r="H640" s="76"/>
    </row>
    <row r="641" spans="1:8" x14ac:dyDescent="0.25">
      <c r="A641" s="94"/>
      <c r="B641" s="95"/>
      <c r="C641" s="94"/>
      <c r="D641" s="76"/>
      <c r="E641" s="76"/>
      <c r="F641" s="76"/>
      <c r="G641" s="79"/>
      <c r="H641" s="76"/>
    </row>
    <row r="642" spans="1:8" x14ac:dyDescent="0.25">
      <c r="A642" s="94"/>
      <c r="B642" s="95"/>
      <c r="C642" s="94"/>
      <c r="D642" s="76"/>
      <c r="E642" s="76"/>
      <c r="F642" s="76"/>
      <c r="G642" s="79"/>
      <c r="H642" s="76"/>
    </row>
    <row r="643" spans="1:8" x14ac:dyDescent="0.25">
      <c r="A643" s="94"/>
      <c r="B643" s="95"/>
      <c r="C643" s="94"/>
      <c r="D643" s="76"/>
      <c r="E643" s="76"/>
      <c r="F643" s="76"/>
      <c r="G643" s="79"/>
      <c r="H643" s="76"/>
    </row>
    <row r="644" spans="1:8" x14ac:dyDescent="0.25">
      <c r="A644" s="94"/>
      <c r="B644" s="95"/>
      <c r="C644" s="94"/>
      <c r="D644" s="76"/>
      <c r="E644" s="76"/>
      <c r="F644" s="76"/>
      <c r="G644" s="79"/>
      <c r="H644" s="76"/>
    </row>
    <row r="645" spans="1:8" x14ac:dyDescent="0.25">
      <c r="A645" s="94"/>
      <c r="B645" s="95"/>
      <c r="C645" s="94"/>
      <c r="D645" s="76"/>
      <c r="E645" s="76"/>
      <c r="F645" s="76"/>
      <c r="G645" s="79"/>
      <c r="H645" s="76"/>
    </row>
    <row r="646" spans="1:8" x14ac:dyDescent="0.25">
      <c r="A646" s="94"/>
      <c r="B646" s="95"/>
      <c r="C646" s="94"/>
      <c r="D646" s="76"/>
      <c r="E646" s="76"/>
      <c r="F646" s="76"/>
      <c r="G646" s="79"/>
      <c r="H646" s="76"/>
    </row>
    <row r="647" spans="1:8" x14ac:dyDescent="0.25">
      <c r="A647" s="94"/>
      <c r="B647" s="95"/>
      <c r="C647" s="94"/>
      <c r="D647" s="76"/>
      <c r="E647" s="76"/>
      <c r="F647" s="76"/>
      <c r="G647" s="79"/>
      <c r="H647" s="76"/>
    </row>
    <row r="648" spans="1:8" x14ac:dyDescent="0.25">
      <c r="A648" s="94"/>
      <c r="B648" s="95"/>
      <c r="C648" s="94"/>
      <c r="D648" s="76"/>
      <c r="E648" s="76"/>
      <c r="F648" s="76"/>
      <c r="G648" s="79"/>
      <c r="H648" s="76"/>
    </row>
    <row r="649" spans="1:8" x14ac:dyDescent="0.25">
      <c r="A649" s="94"/>
      <c r="B649" s="95"/>
      <c r="C649" s="94"/>
      <c r="D649" s="76"/>
      <c r="E649" s="76"/>
      <c r="F649" s="76"/>
      <c r="G649" s="79"/>
      <c r="H649" s="76"/>
    </row>
    <row r="650" spans="1:8" x14ac:dyDescent="0.25">
      <c r="A650" s="94"/>
      <c r="B650" s="95"/>
      <c r="C650" s="94"/>
      <c r="D650" s="76"/>
      <c r="E650" s="76"/>
      <c r="F650" s="76"/>
      <c r="G650" s="79"/>
      <c r="H650" s="76"/>
    </row>
    <row r="651" spans="1:8" x14ac:dyDescent="0.25">
      <c r="A651" s="94"/>
      <c r="B651" s="95"/>
      <c r="C651" s="94"/>
      <c r="D651" s="76"/>
      <c r="E651" s="76"/>
      <c r="F651" s="76"/>
      <c r="G651" s="79"/>
      <c r="H651" s="76"/>
    </row>
    <row r="652" spans="1:8" x14ac:dyDescent="0.25">
      <c r="A652" s="94"/>
      <c r="B652" s="95"/>
      <c r="C652" s="94"/>
      <c r="D652" s="76"/>
      <c r="E652" s="76"/>
      <c r="F652" s="76"/>
      <c r="G652" s="79"/>
      <c r="H652" s="76"/>
    </row>
    <row r="653" spans="1:8" x14ac:dyDescent="0.25">
      <c r="A653" s="94"/>
      <c r="B653" s="95"/>
      <c r="C653" s="94"/>
      <c r="D653" s="76"/>
      <c r="E653" s="76"/>
      <c r="F653" s="76"/>
      <c r="G653" s="79"/>
      <c r="H653" s="76"/>
    </row>
    <row r="654" spans="1:8" x14ac:dyDescent="0.25">
      <c r="A654" s="94"/>
      <c r="B654" s="95"/>
      <c r="C654" s="94"/>
      <c r="D654" s="76"/>
      <c r="E654" s="76"/>
      <c r="F654" s="76"/>
      <c r="G654" s="79"/>
      <c r="H654" s="76"/>
    </row>
    <row r="655" spans="1:8" x14ac:dyDescent="0.25">
      <c r="A655" s="94"/>
      <c r="B655" s="95"/>
      <c r="C655" s="94"/>
      <c r="D655" s="76"/>
      <c r="E655" s="76"/>
      <c r="F655" s="76"/>
      <c r="G655" s="79"/>
      <c r="H655" s="76"/>
    </row>
    <row r="656" spans="1:8" x14ac:dyDescent="0.25">
      <c r="A656" s="94"/>
      <c r="B656" s="95"/>
      <c r="C656" s="94"/>
      <c r="D656" s="76"/>
      <c r="E656" s="76"/>
      <c r="F656" s="76"/>
      <c r="G656" s="79"/>
      <c r="H656" s="76"/>
    </row>
    <row r="657" spans="1:8" x14ac:dyDescent="0.25">
      <c r="A657" s="94"/>
      <c r="B657" s="95"/>
      <c r="C657" s="94"/>
      <c r="D657" s="76"/>
      <c r="E657" s="76"/>
      <c r="F657" s="76"/>
      <c r="G657" s="79"/>
      <c r="H657" s="76"/>
    </row>
    <row r="658" spans="1:8" x14ac:dyDescent="0.25">
      <c r="A658" s="94"/>
      <c r="B658" s="95"/>
      <c r="C658" s="94"/>
      <c r="D658" s="76"/>
      <c r="E658" s="76"/>
      <c r="F658" s="76"/>
      <c r="G658" s="79"/>
      <c r="H658" s="76"/>
    </row>
    <row r="659" spans="1:8" x14ac:dyDescent="0.25">
      <c r="A659" s="94"/>
      <c r="B659" s="95"/>
      <c r="C659" s="94"/>
      <c r="D659" s="76"/>
      <c r="E659" s="76"/>
      <c r="F659" s="76"/>
      <c r="G659" s="79"/>
      <c r="H659" s="76"/>
    </row>
    <row r="660" spans="1:8" x14ac:dyDescent="0.25">
      <c r="A660" s="94"/>
      <c r="B660" s="95"/>
      <c r="C660" s="94"/>
      <c r="D660" s="76"/>
      <c r="E660" s="76"/>
      <c r="F660" s="76"/>
      <c r="G660" s="79"/>
      <c r="H660" s="76"/>
    </row>
    <row r="661" spans="1:8" x14ac:dyDescent="0.25">
      <c r="A661" s="94"/>
      <c r="B661" s="95"/>
      <c r="C661" s="94"/>
      <c r="D661" s="76"/>
      <c r="E661" s="76"/>
      <c r="F661" s="76"/>
      <c r="G661" s="79"/>
      <c r="H661" s="76"/>
    </row>
    <row r="662" spans="1:8" x14ac:dyDescent="0.25">
      <c r="A662" s="94"/>
      <c r="B662" s="95"/>
      <c r="C662" s="94"/>
      <c r="D662" s="76"/>
      <c r="E662" s="76"/>
      <c r="F662" s="76"/>
      <c r="G662" s="79"/>
      <c r="H662" s="76"/>
    </row>
    <row r="663" spans="1:8" x14ac:dyDescent="0.25">
      <c r="A663" s="94"/>
      <c r="B663" s="95"/>
      <c r="C663" s="94"/>
      <c r="D663" s="76"/>
      <c r="E663" s="76"/>
      <c r="F663" s="76"/>
      <c r="G663" s="79"/>
      <c r="H663" s="76"/>
    </row>
    <row r="664" spans="1:8" x14ac:dyDescent="0.25">
      <c r="A664" s="94"/>
      <c r="B664" s="95"/>
      <c r="C664" s="94"/>
      <c r="D664" s="76"/>
      <c r="E664" s="76"/>
      <c r="F664" s="76"/>
      <c r="G664" s="79"/>
      <c r="H664" s="76"/>
    </row>
    <row r="665" spans="1:8" x14ac:dyDescent="0.25">
      <c r="A665" s="94"/>
      <c r="B665" s="95"/>
      <c r="C665" s="94"/>
      <c r="D665" s="76"/>
      <c r="E665" s="76"/>
      <c r="F665" s="76"/>
      <c r="G665" s="79"/>
      <c r="H665" s="76"/>
    </row>
    <row r="666" spans="1:8" x14ac:dyDescent="0.25">
      <c r="A666" s="94"/>
      <c r="B666" s="95"/>
      <c r="C666" s="94"/>
      <c r="D666" s="76"/>
      <c r="E666" s="76"/>
      <c r="F666" s="76"/>
      <c r="G666" s="79"/>
      <c r="H666" s="76"/>
    </row>
    <row r="667" spans="1:8" x14ac:dyDescent="0.25">
      <c r="A667" s="94"/>
      <c r="B667" s="95"/>
      <c r="C667" s="94"/>
      <c r="D667" s="76"/>
      <c r="E667" s="76"/>
      <c r="F667" s="76"/>
      <c r="G667" s="79"/>
      <c r="H667" s="76"/>
    </row>
    <row r="668" spans="1:8" x14ac:dyDescent="0.25">
      <c r="A668" s="94"/>
      <c r="B668" s="95"/>
      <c r="C668" s="94"/>
      <c r="D668" s="76"/>
      <c r="E668" s="76"/>
      <c r="F668" s="76"/>
      <c r="G668" s="79"/>
      <c r="H668" s="76"/>
    </row>
    <row r="669" spans="1:8" x14ac:dyDescent="0.25">
      <c r="A669" s="94"/>
      <c r="B669" s="95"/>
      <c r="C669" s="94"/>
      <c r="D669" s="76"/>
      <c r="E669" s="76"/>
      <c r="F669" s="76"/>
      <c r="G669" s="79"/>
      <c r="H669" s="76"/>
    </row>
    <row r="670" spans="1:8" x14ac:dyDescent="0.25">
      <c r="A670" s="94"/>
      <c r="B670" s="95"/>
      <c r="C670" s="94"/>
      <c r="D670" s="76"/>
      <c r="E670" s="76"/>
      <c r="F670" s="76"/>
      <c r="G670" s="79"/>
      <c r="H670" s="76"/>
    </row>
    <row r="671" spans="1:8" x14ac:dyDescent="0.25">
      <c r="A671" s="94"/>
      <c r="B671" s="95"/>
      <c r="C671" s="94"/>
      <c r="D671" s="76"/>
      <c r="E671" s="76"/>
      <c r="F671" s="76"/>
      <c r="G671" s="79"/>
      <c r="H671" s="76"/>
    </row>
    <row r="672" spans="1:8" x14ac:dyDescent="0.25">
      <c r="A672" s="94"/>
      <c r="B672" s="95"/>
      <c r="C672" s="94"/>
      <c r="D672" s="76"/>
      <c r="E672" s="76"/>
      <c r="F672" s="76"/>
      <c r="G672" s="79"/>
      <c r="H672" s="76"/>
    </row>
    <row r="673" spans="1:8" x14ac:dyDescent="0.25">
      <c r="A673" s="94"/>
      <c r="B673" s="95"/>
      <c r="C673" s="94"/>
      <c r="D673" s="76"/>
      <c r="E673" s="76"/>
      <c r="F673" s="76"/>
      <c r="G673" s="79"/>
      <c r="H673" s="76"/>
    </row>
    <row r="674" spans="1:8" x14ac:dyDescent="0.25">
      <c r="A674" s="94"/>
      <c r="B674" s="95"/>
      <c r="C674" s="94"/>
      <c r="D674" s="76"/>
      <c r="E674" s="76"/>
      <c r="F674" s="76"/>
      <c r="G674" s="79"/>
      <c r="H674" s="76"/>
    </row>
    <row r="675" spans="1:8" x14ac:dyDescent="0.25">
      <c r="A675" s="94"/>
      <c r="B675" s="95"/>
      <c r="C675" s="94"/>
      <c r="D675" s="76"/>
      <c r="E675" s="76"/>
      <c r="F675" s="76"/>
      <c r="G675" s="79"/>
      <c r="H675" s="76"/>
    </row>
    <row r="676" spans="1:8" x14ac:dyDescent="0.25">
      <c r="A676" s="94"/>
      <c r="B676" s="95"/>
      <c r="C676" s="94"/>
      <c r="D676" s="76"/>
      <c r="E676" s="76"/>
      <c r="F676" s="76"/>
      <c r="G676" s="79"/>
      <c r="H676" s="76"/>
    </row>
    <row r="677" spans="1:8" x14ac:dyDescent="0.25">
      <c r="A677" s="94"/>
      <c r="B677" s="95"/>
      <c r="C677" s="94"/>
      <c r="D677" s="76"/>
      <c r="E677" s="76"/>
      <c r="F677" s="76"/>
      <c r="G677" s="79"/>
      <c r="H677" s="76"/>
    </row>
    <row r="678" spans="1:8" x14ac:dyDescent="0.25">
      <c r="A678" s="94"/>
      <c r="B678" s="95"/>
      <c r="C678" s="94"/>
      <c r="D678" s="76"/>
      <c r="E678" s="76"/>
      <c r="F678" s="76"/>
      <c r="G678" s="79"/>
      <c r="H678" s="76"/>
    </row>
    <row r="679" spans="1:8" x14ac:dyDescent="0.25">
      <c r="A679" s="94"/>
      <c r="B679" s="95"/>
      <c r="C679" s="94"/>
      <c r="D679" s="76"/>
      <c r="E679" s="76"/>
      <c r="F679" s="76"/>
      <c r="G679" s="79"/>
      <c r="H679" s="76"/>
    </row>
    <row r="680" spans="1:8" x14ac:dyDescent="0.25">
      <c r="A680" s="94"/>
      <c r="B680" s="95"/>
      <c r="C680" s="94"/>
      <c r="D680" s="76"/>
      <c r="E680" s="76"/>
      <c r="F680" s="76"/>
      <c r="G680" s="79"/>
      <c r="H680" s="76"/>
    </row>
    <row r="681" spans="1:8" x14ac:dyDescent="0.25">
      <c r="A681" s="94"/>
      <c r="B681" s="95"/>
      <c r="C681" s="94"/>
      <c r="D681" s="76"/>
      <c r="E681" s="76"/>
      <c r="F681" s="76"/>
      <c r="G681" s="79"/>
      <c r="H681" s="76"/>
    </row>
    <row r="682" spans="1:8" x14ac:dyDescent="0.25">
      <c r="A682" s="94"/>
      <c r="B682" s="95"/>
      <c r="C682" s="94"/>
      <c r="D682" s="76"/>
      <c r="E682" s="76"/>
      <c r="F682" s="76"/>
      <c r="G682" s="79"/>
      <c r="H682" s="76"/>
    </row>
    <row r="683" spans="1:8" x14ac:dyDescent="0.25">
      <c r="A683" s="94"/>
      <c r="B683" s="95"/>
      <c r="C683" s="94"/>
      <c r="D683" s="76"/>
      <c r="E683" s="76"/>
      <c r="F683" s="76"/>
      <c r="G683" s="79"/>
      <c r="H683" s="76"/>
    </row>
    <row r="684" spans="1:8" x14ac:dyDescent="0.25">
      <c r="A684" s="94"/>
      <c r="B684" s="95"/>
      <c r="C684" s="94"/>
      <c r="D684" s="76"/>
      <c r="E684" s="76"/>
      <c r="F684" s="76"/>
      <c r="G684" s="79"/>
      <c r="H684" s="76"/>
    </row>
    <row r="685" spans="1:8" x14ac:dyDescent="0.25">
      <c r="A685" s="94"/>
      <c r="B685" s="95"/>
      <c r="C685" s="94"/>
      <c r="D685" s="76"/>
      <c r="E685" s="76"/>
      <c r="F685" s="76"/>
      <c r="G685" s="79"/>
      <c r="H685" s="76"/>
    </row>
    <row r="686" spans="1:8" x14ac:dyDescent="0.25">
      <c r="A686" s="94"/>
      <c r="B686" s="95"/>
      <c r="C686" s="94"/>
      <c r="D686" s="76"/>
      <c r="E686" s="76"/>
      <c r="F686" s="76"/>
      <c r="G686" s="79"/>
      <c r="H686" s="76"/>
    </row>
    <row r="687" spans="1:8" x14ac:dyDescent="0.25">
      <c r="A687" s="94"/>
      <c r="B687" s="95"/>
      <c r="C687" s="94"/>
      <c r="D687" s="76"/>
      <c r="E687" s="76"/>
      <c r="F687" s="76"/>
      <c r="G687" s="79"/>
      <c r="H687" s="76"/>
    </row>
    <row r="688" spans="1:8" x14ac:dyDescent="0.25">
      <c r="A688" s="94"/>
      <c r="B688" s="95"/>
      <c r="C688" s="94"/>
      <c r="D688" s="76"/>
      <c r="E688" s="76"/>
      <c r="F688" s="76"/>
      <c r="G688" s="79"/>
      <c r="H688" s="76"/>
    </row>
    <row r="689" spans="1:8" x14ac:dyDescent="0.25">
      <c r="A689" s="94"/>
      <c r="B689" s="95"/>
      <c r="C689" s="94"/>
      <c r="D689" s="76"/>
      <c r="E689" s="76"/>
      <c r="F689" s="76"/>
      <c r="G689" s="79"/>
      <c r="H689" s="76"/>
    </row>
    <row r="690" spans="1:8" x14ac:dyDescent="0.25">
      <c r="A690" s="94"/>
      <c r="B690" s="95"/>
      <c r="C690" s="94"/>
      <c r="D690" s="76"/>
      <c r="E690" s="76"/>
      <c r="F690" s="76"/>
      <c r="G690" s="79"/>
      <c r="H690" s="76"/>
    </row>
    <row r="691" spans="1:8" x14ac:dyDescent="0.25">
      <c r="A691" s="94"/>
      <c r="B691" s="95"/>
      <c r="C691" s="94"/>
      <c r="D691" s="76"/>
      <c r="E691" s="76"/>
      <c r="F691" s="76"/>
      <c r="G691" s="79"/>
      <c r="H691" s="76"/>
    </row>
    <row r="692" spans="1:8" x14ac:dyDescent="0.25">
      <c r="A692" s="94"/>
      <c r="B692" s="95"/>
      <c r="C692" s="94"/>
      <c r="D692" s="76"/>
      <c r="E692" s="76"/>
      <c r="F692" s="76"/>
      <c r="G692" s="79"/>
      <c r="H692" s="76"/>
    </row>
    <row r="693" spans="1:8" x14ac:dyDescent="0.25">
      <c r="A693" s="94"/>
      <c r="B693" s="95"/>
      <c r="C693" s="94"/>
      <c r="D693" s="76"/>
      <c r="E693" s="76"/>
      <c r="F693" s="76"/>
      <c r="G693" s="79"/>
      <c r="H693" s="76"/>
    </row>
    <row r="694" spans="1:8" x14ac:dyDescent="0.25">
      <c r="A694" s="94"/>
      <c r="B694" s="95"/>
      <c r="C694" s="94"/>
      <c r="D694" s="76"/>
      <c r="E694" s="76"/>
      <c r="F694" s="76"/>
      <c r="G694" s="79"/>
      <c r="H694" s="76"/>
    </row>
    <row r="695" spans="1:8" x14ac:dyDescent="0.25">
      <c r="A695" s="94"/>
      <c r="B695" s="95"/>
      <c r="C695" s="94"/>
      <c r="D695" s="76"/>
      <c r="E695" s="76"/>
      <c r="F695" s="76"/>
      <c r="G695" s="79"/>
      <c r="H695" s="76"/>
    </row>
    <row r="696" spans="1:8" x14ac:dyDescent="0.25">
      <c r="A696" s="94"/>
      <c r="B696" s="95"/>
      <c r="C696" s="94"/>
      <c r="D696" s="76"/>
      <c r="E696" s="76"/>
      <c r="F696" s="76"/>
      <c r="G696" s="79"/>
      <c r="H696" s="76"/>
    </row>
    <row r="697" spans="1:8" x14ac:dyDescent="0.25">
      <c r="A697" s="94"/>
      <c r="B697" s="95"/>
      <c r="C697" s="94"/>
      <c r="D697" s="76"/>
      <c r="E697" s="76"/>
      <c r="F697" s="76"/>
      <c r="G697" s="79"/>
      <c r="H697" s="76"/>
    </row>
    <row r="698" spans="1:8" x14ac:dyDescent="0.25">
      <c r="A698" s="94"/>
      <c r="B698" s="95"/>
      <c r="C698" s="94"/>
      <c r="D698" s="76"/>
      <c r="E698" s="76"/>
      <c r="F698" s="76"/>
      <c r="G698" s="79"/>
      <c r="H698" s="76"/>
    </row>
    <row r="699" spans="1:8" x14ac:dyDescent="0.25">
      <c r="A699" s="94"/>
      <c r="B699" s="95"/>
      <c r="C699" s="94"/>
      <c r="D699" s="76"/>
      <c r="E699" s="76"/>
      <c r="F699" s="76"/>
      <c r="G699" s="79"/>
      <c r="H699" s="76"/>
    </row>
    <row r="700" spans="1:8" x14ac:dyDescent="0.25">
      <c r="A700" s="94"/>
      <c r="B700" s="95"/>
      <c r="C700" s="94"/>
      <c r="D700" s="76"/>
      <c r="E700" s="76"/>
      <c r="F700" s="76"/>
      <c r="G700" s="79"/>
      <c r="H700" s="76"/>
    </row>
    <row r="701" spans="1:8" x14ac:dyDescent="0.25">
      <c r="A701" s="94"/>
      <c r="B701" s="95"/>
      <c r="C701" s="94"/>
      <c r="D701" s="76"/>
      <c r="E701" s="76"/>
      <c r="F701" s="76"/>
      <c r="G701" s="79"/>
      <c r="H701" s="76"/>
    </row>
    <row r="702" spans="1:8" x14ac:dyDescent="0.25">
      <c r="A702" s="94"/>
      <c r="B702" s="95"/>
      <c r="C702" s="94"/>
      <c r="D702" s="76"/>
      <c r="E702" s="76"/>
      <c r="F702" s="76"/>
      <c r="G702" s="79"/>
      <c r="H702" s="76"/>
    </row>
    <row r="703" spans="1:8" x14ac:dyDescent="0.25">
      <c r="A703" s="94"/>
      <c r="B703" s="95"/>
      <c r="C703" s="94"/>
      <c r="D703" s="76"/>
      <c r="E703" s="76"/>
      <c r="F703" s="76"/>
      <c r="G703" s="79"/>
      <c r="H703" s="76"/>
    </row>
    <row r="704" spans="1:8" x14ac:dyDescent="0.25">
      <c r="A704" s="94"/>
      <c r="B704" s="95"/>
      <c r="C704" s="94"/>
      <c r="D704" s="76"/>
      <c r="E704" s="76"/>
      <c r="F704" s="76"/>
      <c r="G704" s="79"/>
      <c r="H704" s="76"/>
    </row>
    <row r="705" spans="1:8" x14ac:dyDescent="0.25">
      <c r="A705" s="94"/>
      <c r="B705" s="95"/>
      <c r="C705" s="94"/>
      <c r="D705" s="76"/>
      <c r="E705" s="76"/>
      <c r="F705" s="76"/>
      <c r="G705" s="79"/>
      <c r="H705" s="76"/>
    </row>
    <row r="706" spans="1:8" x14ac:dyDescent="0.25">
      <c r="A706" s="94"/>
      <c r="B706" s="95"/>
      <c r="C706" s="94"/>
      <c r="D706" s="76"/>
      <c r="E706" s="76"/>
      <c r="F706" s="76"/>
      <c r="G706" s="79"/>
      <c r="H706" s="76"/>
    </row>
    <row r="707" spans="1:8" x14ac:dyDescent="0.25">
      <c r="A707" s="94"/>
      <c r="B707" s="95"/>
      <c r="C707" s="94"/>
      <c r="D707" s="76"/>
      <c r="E707" s="76"/>
      <c r="F707" s="76"/>
      <c r="G707" s="79"/>
      <c r="H707" s="76"/>
    </row>
    <row r="708" spans="1:8" x14ac:dyDescent="0.25">
      <c r="A708" s="94"/>
      <c r="B708" s="95"/>
      <c r="C708" s="94"/>
      <c r="D708" s="76"/>
      <c r="E708" s="76"/>
      <c r="F708" s="76"/>
      <c r="G708" s="79"/>
      <c r="H708" s="76"/>
    </row>
    <row r="709" spans="1:8" x14ac:dyDescent="0.25">
      <c r="A709" s="94"/>
      <c r="B709" s="104"/>
      <c r="C709" s="104"/>
      <c r="D709" s="104"/>
      <c r="E709" s="104"/>
      <c r="F709" s="104"/>
      <c r="G709" s="104"/>
      <c r="H709" s="104"/>
    </row>
    <row r="710" spans="1:8" x14ac:dyDescent="0.25">
      <c r="A710" s="94"/>
      <c r="B710" s="104"/>
      <c r="C710" s="104"/>
      <c r="D710" s="104"/>
      <c r="E710" s="104"/>
      <c r="F710" s="104"/>
      <c r="G710" s="104"/>
      <c r="H710" s="104"/>
    </row>
  </sheetData>
  <mergeCells count="2">
    <mergeCell ref="A1:G1"/>
    <mergeCell ref="K1:L1"/>
  </mergeCells>
  <pageMargins left="0.51180599999999998" right="0.51180599999999998" top="0.78749999999999998" bottom="0.78749999999999998" header="0.315278" footer="0.315278"/>
  <pageSetup paperSize="9" fitToWidth="0" orientation="landscape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workbookViewId="0">
      <selection activeCell="A5" sqref="A5:B5"/>
    </sheetView>
  </sheetViews>
  <sheetFormatPr defaultRowHeight="15" x14ac:dyDescent="0.25"/>
  <cols>
    <col min="1" max="1" width="10.7109375" customWidth="1"/>
    <col min="2" max="2" width="14.140625" customWidth="1"/>
    <col min="3" max="3" width="57.85546875" customWidth="1"/>
    <col min="4" max="4" width="13.28515625" customWidth="1"/>
    <col min="5" max="5" width="3.28515625" customWidth="1"/>
    <col min="6" max="6" width="11.5703125" customWidth="1"/>
    <col min="7" max="7" width="15.140625" customWidth="1"/>
    <col min="8" max="8" width="50.7109375" customWidth="1"/>
    <col min="9" max="9" width="12.140625" customWidth="1"/>
    <col min="10" max="10" width="2.5703125" customWidth="1"/>
    <col min="11" max="11" width="11.5703125" customWidth="1"/>
    <col min="12" max="12" width="11.85546875" customWidth="1"/>
    <col min="13" max="13" width="49.42578125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987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Geral!D34</f>
        <v>17384.965521999999</v>
      </c>
      <c r="F6" s="211" t="s">
        <v>687</v>
      </c>
      <c r="G6" s="212"/>
      <c r="H6" s="14" t="s">
        <v>582</v>
      </c>
      <c r="I6" s="24">
        <f>Geral!E34</f>
        <v>4076.1837964285719</v>
      </c>
      <c r="K6" s="230" t="s">
        <v>688</v>
      </c>
      <c r="L6" s="230"/>
      <c r="M6" s="4" t="s">
        <v>582</v>
      </c>
      <c r="N6" s="24">
        <f>Geral!F34</f>
        <v>1899.99</v>
      </c>
    </row>
    <row r="7" spans="1:14" ht="15" customHeight="1" x14ac:dyDescent="0.25">
      <c r="A7" s="230"/>
      <c r="B7" s="230"/>
      <c r="C7" s="3" t="s">
        <v>583</v>
      </c>
      <c r="D7" s="24">
        <f>SUM(D10:D102)</f>
        <v>17384.969999999998</v>
      </c>
      <c r="F7" s="213"/>
      <c r="G7" s="214"/>
      <c r="H7" s="14" t="s">
        <v>583</v>
      </c>
      <c r="I7" s="24">
        <f>SUM(I10:I27)</f>
        <v>3852.32</v>
      </c>
      <c r="K7" s="230"/>
      <c r="L7" s="230"/>
      <c r="M7" s="4" t="s">
        <v>583</v>
      </c>
      <c r="N7" s="24">
        <f>SUM(N10:N27)</f>
        <v>1899.99</v>
      </c>
    </row>
    <row r="8" spans="1:14" ht="15" customHeight="1" x14ac:dyDescent="0.25">
      <c r="A8" s="230"/>
      <c r="B8" s="230"/>
      <c r="C8" s="3" t="s">
        <v>584</v>
      </c>
      <c r="D8" s="24">
        <f>D6-D7</f>
        <v>-4.4779999989259522E-3</v>
      </c>
      <c r="F8" s="215"/>
      <c r="G8" s="216"/>
      <c r="H8" s="14" t="s">
        <v>584</v>
      </c>
      <c r="I8" s="24">
        <f>I6-I7</f>
        <v>223.86379642857173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109">
        <v>2202</v>
      </c>
      <c r="B10" s="9"/>
      <c r="C10" s="10" t="s">
        <v>988</v>
      </c>
      <c r="D10" s="23">
        <v>2000</v>
      </c>
      <c r="F10" s="5">
        <v>43587</v>
      </c>
      <c r="G10" s="6" t="s">
        <v>989</v>
      </c>
      <c r="H10" s="7" t="s">
        <v>990</v>
      </c>
      <c r="I10" s="24">
        <v>648.17999999999995</v>
      </c>
      <c r="K10" s="5">
        <v>43627</v>
      </c>
      <c r="L10" s="95">
        <v>6182</v>
      </c>
      <c r="M10" s="76" t="s">
        <v>401</v>
      </c>
      <c r="N10" s="79">
        <v>1899.99</v>
      </c>
    </row>
    <row r="11" spans="1:14" x14ac:dyDescent="0.25">
      <c r="A11" s="94">
        <v>703</v>
      </c>
      <c r="B11" s="95">
        <v>1867</v>
      </c>
      <c r="C11" s="76" t="s">
        <v>195</v>
      </c>
      <c r="D11" s="79">
        <v>600</v>
      </c>
      <c r="F11" s="5">
        <v>43593</v>
      </c>
      <c r="G11" s="6" t="s">
        <v>991</v>
      </c>
      <c r="H11" s="7" t="s">
        <v>992</v>
      </c>
      <c r="I11" s="24">
        <v>85.379999999999981</v>
      </c>
      <c r="K11" s="68"/>
      <c r="L11" s="71"/>
      <c r="M11" s="10"/>
      <c r="N11" s="23"/>
    </row>
    <row r="12" spans="1:14" x14ac:dyDescent="0.25">
      <c r="A12" s="94">
        <v>703</v>
      </c>
      <c r="B12" s="95">
        <v>1868</v>
      </c>
      <c r="C12" s="76" t="s">
        <v>197</v>
      </c>
      <c r="D12" s="79">
        <v>23.72</v>
      </c>
      <c r="F12" s="5">
        <v>43724</v>
      </c>
      <c r="G12" s="6" t="s">
        <v>993</v>
      </c>
      <c r="H12" s="7" t="s">
        <v>994</v>
      </c>
      <c r="I12" s="24">
        <v>798.6</v>
      </c>
      <c r="K12" s="8"/>
      <c r="L12" s="6"/>
      <c r="M12" s="7"/>
      <c r="N12" s="24"/>
    </row>
    <row r="13" spans="1:14" x14ac:dyDescent="0.25">
      <c r="A13" s="94">
        <v>703</v>
      </c>
      <c r="B13" s="95">
        <v>1869</v>
      </c>
      <c r="C13" s="76" t="s">
        <v>199</v>
      </c>
      <c r="D13" s="79">
        <v>16.3</v>
      </c>
      <c r="F13" s="5">
        <v>43724</v>
      </c>
      <c r="G13" s="6" t="s">
        <v>995</v>
      </c>
      <c r="H13" s="7" t="s">
        <v>996</v>
      </c>
      <c r="I13" s="24">
        <v>798.6</v>
      </c>
      <c r="K13" s="8"/>
      <c r="L13" s="6"/>
      <c r="M13" s="7"/>
      <c r="N13" s="24"/>
    </row>
    <row r="14" spans="1:14" x14ac:dyDescent="0.25">
      <c r="A14" s="94">
        <v>703</v>
      </c>
      <c r="B14" s="95">
        <v>1871</v>
      </c>
      <c r="C14" s="76" t="s">
        <v>201</v>
      </c>
      <c r="D14" s="79">
        <v>9.85</v>
      </c>
      <c r="F14" s="5">
        <v>43724</v>
      </c>
      <c r="G14" s="6" t="s">
        <v>997</v>
      </c>
      <c r="H14" s="7" t="s">
        <v>998</v>
      </c>
      <c r="I14" s="24">
        <v>713.22</v>
      </c>
      <c r="K14" s="8"/>
      <c r="L14" s="6"/>
      <c r="M14" s="7"/>
      <c r="N14" s="24"/>
    </row>
    <row r="15" spans="1:14" x14ac:dyDescent="0.25">
      <c r="A15" s="94">
        <v>703</v>
      </c>
      <c r="B15" s="95">
        <v>1872</v>
      </c>
      <c r="C15" s="76" t="s">
        <v>203</v>
      </c>
      <c r="D15" s="79">
        <v>97.35</v>
      </c>
      <c r="F15" s="5">
        <v>43725</v>
      </c>
      <c r="G15" s="6" t="s">
        <v>999</v>
      </c>
      <c r="H15" s="7" t="s">
        <v>1000</v>
      </c>
      <c r="I15" s="24">
        <v>713.22</v>
      </c>
      <c r="K15" s="8"/>
      <c r="L15" s="6"/>
      <c r="M15" s="7"/>
      <c r="N15" s="24"/>
    </row>
    <row r="16" spans="1:14" x14ac:dyDescent="0.25">
      <c r="A16" s="94">
        <v>1303</v>
      </c>
      <c r="B16" s="95">
        <v>2118</v>
      </c>
      <c r="C16" s="76" t="s">
        <v>197</v>
      </c>
      <c r="D16" s="79">
        <v>59.3</v>
      </c>
      <c r="F16" s="5">
        <v>43725</v>
      </c>
      <c r="G16" s="6" t="s">
        <v>1001</v>
      </c>
      <c r="H16" s="7" t="s">
        <v>1002</v>
      </c>
      <c r="I16" s="24">
        <v>223.86</v>
      </c>
      <c r="K16" s="8"/>
      <c r="L16" s="6"/>
      <c r="M16" s="7"/>
      <c r="N16" s="24"/>
    </row>
    <row r="17" spans="1:14" x14ac:dyDescent="0.25">
      <c r="A17" s="94">
        <v>1303</v>
      </c>
      <c r="B17" s="95">
        <v>2119</v>
      </c>
      <c r="C17" s="76" t="s">
        <v>199</v>
      </c>
      <c r="D17" s="79">
        <v>65.2</v>
      </c>
      <c r="F17" s="5">
        <v>43725</v>
      </c>
      <c r="G17" s="6" t="s">
        <v>1003</v>
      </c>
      <c r="H17" s="7" t="s">
        <v>994</v>
      </c>
      <c r="I17" s="24">
        <v>223.86</v>
      </c>
      <c r="K17" s="8"/>
      <c r="L17" s="6"/>
      <c r="M17" s="7"/>
      <c r="N17" s="24"/>
    </row>
    <row r="18" spans="1:14" x14ac:dyDescent="0.25">
      <c r="A18" s="94">
        <v>1303</v>
      </c>
      <c r="B18" s="95">
        <v>2121</v>
      </c>
      <c r="C18" s="76" t="s">
        <v>201</v>
      </c>
      <c r="D18" s="79">
        <v>39.4</v>
      </c>
      <c r="F18" s="5">
        <v>43726</v>
      </c>
      <c r="G18" s="6"/>
      <c r="H18" s="7" t="s">
        <v>1004</v>
      </c>
      <c r="I18" s="24">
        <v>-352.6</v>
      </c>
      <c r="K18" s="8"/>
      <c r="L18" s="6"/>
      <c r="M18" s="7"/>
      <c r="N18" s="24"/>
    </row>
    <row r="19" spans="1:14" x14ac:dyDescent="0.25">
      <c r="A19" s="94">
        <v>1303</v>
      </c>
      <c r="B19" s="95">
        <v>2125</v>
      </c>
      <c r="C19" s="76" t="s">
        <v>218</v>
      </c>
      <c r="D19" s="79">
        <v>120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94">
        <v>1403</v>
      </c>
      <c r="B20" s="71"/>
      <c r="C20" s="10" t="s">
        <v>1005</v>
      </c>
      <c r="D20" s="23">
        <f>162+61.42</f>
        <v>223.42000000000002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94">
        <v>204</v>
      </c>
      <c r="B21" s="71"/>
      <c r="C21" s="7" t="s">
        <v>692</v>
      </c>
      <c r="D21" s="23">
        <v>-325.32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94">
        <v>304</v>
      </c>
      <c r="B22" s="95">
        <v>4148</v>
      </c>
      <c r="C22" s="7" t="s">
        <v>705</v>
      </c>
      <c r="D22" s="23">
        <v>45.81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94">
        <v>504</v>
      </c>
      <c r="B23" s="95">
        <v>4343</v>
      </c>
      <c r="C23" s="7" t="s">
        <v>705</v>
      </c>
      <c r="D23" s="23">
        <v>218.55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94">
        <v>504</v>
      </c>
      <c r="B24" s="95">
        <v>4361</v>
      </c>
      <c r="C24" s="7" t="s">
        <v>705</v>
      </c>
      <c r="D24" s="23">
        <v>146.15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94">
        <v>504</v>
      </c>
      <c r="B25" s="95">
        <v>4362</v>
      </c>
      <c r="C25" s="7" t="s">
        <v>705</v>
      </c>
      <c r="D25" s="24">
        <v>50.17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94">
        <v>804</v>
      </c>
      <c r="B26" s="95">
        <v>4485</v>
      </c>
      <c r="C26" s="7" t="s">
        <v>705</v>
      </c>
      <c r="D26" s="24">
        <v>28.83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94">
        <v>1104</v>
      </c>
      <c r="B27" s="95">
        <v>4696</v>
      </c>
      <c r="C27" s="7" t="s">
        <v>705</v>
      </c>
      <c r="D27" s="24">
        <v>338.35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94">
        <v>1204</v>
      </c>
      <c r="B28" s="95">
        <v>3714</v>
      </c>
      <c r="C28" s="76" t="s">
        <v>297</v>
      </c>
      <c r="D28" s="79">
        <v>2729</v>
      </c>
      <c r="F28" s="31"/>
      <c r="G28" s="32"/>
      <c r="H28" s="33"/>
      <c r="I28" s="41"/>
      <c r="K28" s="35"/>
      <c r="L28" s="32"/>
      <c r="M28" s="33"/>
      <c r="N28" s="41"/>
    </row>
    <row r="29" spans="1:14" x14ac:dyDescent="0.25">
      <c r="A29" s="94">
        <v>1804</v>
      </c>
      <c r="B29" s="95">
        <v>5053</v>
      </c>
      <c r="C29" s="7" t="s">
        <v>705</v>
      </c>
      <c r="D29" s="24">
        <v>33.64</v>
      </c>
      <c r="F29" s="31"/>
      <c r="G29" s="32"/>
      <c r="H29" s="33"/>
      <c r="I29" s="41"/>
      <c r="K29" s="35"/>
      <c r="L29" s="32"/>
      <c r="M29" s="33"/>
      <c r="N29" s="41"/>
    </row>
    <row r="30" spans="1:14" x14ac:dyDescent="0.25">
      <c r="A30" s="94">
        <v>1804</v>
      </c>
      <c r="B30" s="95">
        <v>5055</v>
      </c>
      <c r="C30" s="7" t="s">
        <v>705</v>
      </c>
      <c r="D30" s="24">
        <v>120</v>
      </c>
      <c r="F30" s="31"/>
      <c r="G30" s="32"/>
      <c r="H30" s="33"/>
      <c r="I30" s="41"/>
      <c r="K30" s="35"/>
      <c r="L30" s="32"/>
      <c r="M30" s="33"/>
      <c r="N30" s="41"/>
    </row>
    <row r="31" spans="1:14" x14ac:dyDescent="0.25">
      <c r="A31" s="94">
        <v>2504</v>
      </c>
      <c r="B31" s="95">
        <v>5283</v>
      </c>
      <c r="C31" s="7" t="s">
        <v>705</v>
      </c>
      <c r="D31" s="79">
        <v>125.04</v>
      </c>
      <c r="F31" s="31"/>
      <c r="G31" s="32"/>
      <c r="H31" s="33"/>
      <c r="I31" s="41"/>
      <c r="K31" s="35"/>
      <c r="L31" s="32"/>
      <c r="M31" s="33"/>
      <c r="N31" s="41"/>
    </row>
    <row r="32" spans="1:14" x14ac:dyDescent="0.25">
      <c r="A32" s="94">
        <v>2504</v>
      </c>
      <c r="B32" s="95">
        <v>4137</v>
      </c>
      <c r="C32" s="76" t="s">
        <v>324</v>
      </c>
      <c r="D32" s="79">
        <v>16.399999999999995</v>
      </c>
      <c r="F32" s="31"/>
      <c r="G32" s="32"/>
      <c r="H32" s="33"/>
      <c r="I32" s="41"/>
      <c r="K32" s="35"/>
      <c r="L32" s="32"/>
      <c r="M32" s="33"/>
      <c r="N32" s="41"/>
    </row>
    <row r="33" spans="1:14" x14ac:dyDescent="0.25">
      <c r="A33" s="5">
        <v>43581</v>
      </c>
      <c r="B33" s="6"/>
      <c r="C33" s="10" t="s">
        <v>1006</v>
      </c>
      <c r="D33" s="23">
        <v>100</v>
      </c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94">
        <v>3004</v>
      </c>
      <c r="B34" s="95">
        <v>5558</v>
      </c>
      <c r="C34" s="7" t="s">
        <v>705</v>
      </c>
      <c r="D34" s="79">
        <v>3.34</v>
      </c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94">
        <v>3004</v>
      </c>
      <c r="B35" s="95">
        <v>5566</v>
      </c>
      <c r="C35" s="7" t="s">
        <v>705</v>
      </c>
      <c r="D35" s="23">
        <v>5.55</v>
      </c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94">
        <v>705</v>
      </c>
      <c r="B36" s="95">
        <v>5921</v>
      </c>
      <c r="C36" s="7" t="s">
        <v>705</v>
      </c>
      <c r="D36" s="79">
        <v>31.62</v>
      </c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A37" s="94">
        <v>905</v>
      </c>
      <c r="B37" s="95">
        <v>6086</v>
      </c>
      <c r="C37" s="7" t="s">
        <v>705</v>
      </c>
      <c r="D37" s="23">
        <v>10.86</v>
      </c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94">
        <v>1605</v>
      </c>
      <c r="B38" s="71"/>
      <c r="C38" s="10" t="s">
        <v>1007</v>
      </c>
      <c r="D38" s="23">
        <v>46.94</v>
      </c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94">
        <v>2005</v>
      </c>
      <c r="B39" s="95">
        <v>6430</v>
      </c>
      <c r="C39" s="7" t="s">
        <v>705</v>
      </c>
      <c r="D39" s="23">
        <v>4.5</v>
      </c>
    </row>
    <row r="40" spans="1:14" x14ac:dyDescent="0.25">
      <c r="A40" s="94">
        <v>2105</v>
      </c>
      <c r="B40" s="95">
        <v>6548</v>
      </c>
      <c r="C40" s="7" t="s">
        <v>705</v>
      </c>
      <c r="D40" s="24">
        <v>34.35</v>
      </c>
    </row>
    <row r="41" spans="1:14" x14ac:dyDescent="0.25">
      <c r="A41" s="94">
        <v>2105</v>
      </c>
      <c r="B41" s="95">
        <v>6554</v>
      </c>
      <c r="C41" s="7" t="s">
        <v>705</v>
      </c>
      <c r="D41" s="23">
        <v>12</v>
      </c>
    </row>
    <row r="42" spans="1:14" x14ac:dyDescent="0.25">
      <c r="A42" s="94">
        <v>306</v>
      </c>
      <c r="B42" s="71"/>
      <c r="C42" s="10" t="s">
        <v>1008</v>
      </c>
      <c r="D42" s="23">
        <v>-158</v>
      </c>
    </row>
    <row r="43" spans="1:14" x14ac:dyDescent="0.25">
      <c r="A43" s="94">
        <v>306</v>
      </c>
      <c r="B43" s="95">
        <v>7212</v>
      </c>
      <c r="C43" s="7" t="s">
        <v>705</v>
      </c>
      <c r="D43" s="24">
        <v>84.9</v>
      </c>
    </row>
    <row r="44" spans="1:14" x14ac:dyDescent="0.25">
      <c r="A44" s="94">
        <v>406</v>
      </c>
      <c r="B44" s="95">
        <v>7263</v>
      </c>
      <c r="C44" s="7" t="s">
        <v>705</v>
      </c>
      <c r="D44" s="24">
        <v>43.2</v>
      </c>
    </row>
    <row r="45" spans="1:14" x14ac:dyDescent="0.25">
      <c r="A45" s="94">
        <v>406</v>
      </c>
      <c r="B45" s="95">
        <v>7265</v>
      </c>
      <c r="C45" s="7" t="s">
        <v>705</v>
      </c>
      <c r="D45" s="23">
        <v>8.16</v>
      </c>
    </row>
    <row r="46" spans="1:14" x14ac:dyDescent="0.25">
      <c r="A46" s="94">
        <v>1106</v>
      </c>
      <c r="B46" s="95">
        <v>7630</v>
      </c>
      <c r="C46" s="7" t="s">
        <v>705</v>
      </c>
      <c r="D46" s="24">
        <v>274.5</v>
      </c>
    </row>
    <row r="47" spans="1:14" x14ac:dyDescent="0.25">
      <c r="A47" s="5">
        <v>43633</v>
      </c>
      <c r="B47" s="6"/>
      <c r="C47" s="7" t="s">
        <v>1009</v>
      </c>
      <c r="D47" s="24">
        <v>60</v>
      </c>
    </row>
    <row r="48" spans="1:14" x14ac:dyDescent="0.25">
      <c r="A48" s="5">
        <v>43633</v>
      </c>
      <c r="B48" s="95">
        <v>6559</v>
      </c>
      <c r="C48" s="76" t="s">
        <v>1010</v>
      </c>
      <c r="D48" s="79">
        <v>50</v>
      </c>
    </row>
    <row r="49" spans="1:4" x14ac:dyDescent="0.25">
      <c r="A49" s="94">
        <v>107</v>
      </c>
      <c r="B49" s="95">
        <v>8332</v>
      </c>
      <c r="C49" s="7" t="s">
        <v>705</v>
      </c>
      <c r="D49" s="79">
        <v>45.23</v>
      </c>
    </row>
    <row r="50" spans="1:4" x14ac:dyDescent="0.25">
      <c r="A50" s="94">
        <v>107</v>
      </c>
      <c r="B50" s="95">
        <v>8338</v>
      </c>
      <c r="C50" s="7" t="s">
        <v>705</v>
      </c>
      <c r="D50" s="24">
        <v>12.58</v>
      </c>
    </row>
    <row r="51" spans="1:4" x14ac:dyDescent="0.25">
      <c r="A51" s="94">
        <v>107</v>
      </c>
      <c r="B51" s="95">
        <v>8393</v>
      </c>
      <c r="C51" s="7" t="s">
        <v>705</v>
      </c>
      <c r="D51" s="23">
        <v>6.46</v>
      </c>
    </row>
    <row r="52" spans="1:4" x14ac:dyDescent="0.25">
      <c r="A52" s="94">
        <v>407</v>
      </c>
      <c r="B52" s="95">
        <v>8593</v>
      </c>
      <c r="C52" s="7" t="s">
        <v>705</v>
      </c>
      <c r="D52" s="23">
        <v>202.53</v>
      </c>
    </row>
    <row r="53" spans="1:4" x14ac:dyDescent="0.25">
      <c r="A53" s="94">
        <v>407</v>
      </c>
      <c r="B53" s="10" t="s">
        <v>1011</v>
      </c>
      <c r="C53" s="76" t="s">
        <v>1012</v>
      </c>
      <c r="D53" s="23">
        <v>5.2</v>
      </c>
    </row>
    <row r="54" spans="1:4" x14ac:dyDescent="0.25">
      <c r="A54" s="94">
        <v>407</v>
      </c>
      <c r="B54" s="10" t="s">
        <v>1013</v>
      </c>
      <c r="C54" s="76" t="s">
        <v>1014</v>
      </c>
      <c r="D54" s="23">
        <v>13.8</v>
      </c>
    </row>
    <row r="55" spans="1:4" x14ac:dyDescent="0.25">
      <c r="A55" s="94">
        <v>507</v>
      </c>
      <c r="B55" s="95">
        <v>8695</v>
      </c>
      <c r="C55" s="7" t="s">
        <v>705</v>
      </c>
      <c r="D55" s="23">
        <v>183.25</v>
      </c>
    </row>
    <row r="56" spans="1:4" x14ac:dyDescent="0.25">
      <c r="A56" s="94">
        <v>907</v>
      </c>
      <c r="B56" s="95">
        <v>8823</v>
      </c>
      <c r="C56" s="7" t="s">
        <v>705</v>
      </c>
      <c r="D56" s="23">
        <v>10.42</v>
      </c>
    </row>
    <row r="57" spans="1:4" x14ac:dyDescent="0.25">
      <c r="A57" s="94">
        <v>1207</v>
      </c>
      <c r="B57" s="95">
        <v>8971</v>
      </c>
      <c r="C57" s="7" t="s">
        <v>705</v>
      </c>
      <c r="D57" s="23">
        <v>6.9</v>
      </c>
    </row>
    <row r="58" spans="1:4" x14ac:dyDescent="0.25">
      <c r="A58" s="94">
        <v>1807</v>
      </c>
      <c r="B58" s="95">
        <v>9238</v>
      </c>
      <c r="C58" s="7" t="s">
        <v>705</v>
      </c>
      <c r="D58" s="23">
        <v>8.16</v>
      </c>
    </row>
    <row r="59" spans="1:4" x14ac:dyDescent="0.25">
      <c r="A59" s="94">
        <v>2207</v>
      </c>
      <c r="B59" s="95">
        <v>8392</v>
      </c>
      <c r="C59" s="76" t="s">
        <v>451</v>
      </c>
      <c r="D59" s="23">
        <v>1312</v>
      </c>
    </row>
    <row r="60" spans="1:4" x14ac:dyDescent="0.25">
      <c r="A60" s="94">
        <v>1807</v>
      </c>
      <c r="B60" s="95"/>
      <c r="C60" s="76" t="s">
        <v>1015</v>
      </c>
      <c r="D60" s="23">
        <v>50</v>
      </c>
    </row>
    <row r="61" spans="1:4" x14ac:dyDescent="0.25">
      <c r="A61" s="94">
        <v>2907</v>
      </c>
      <c r="B61" s="95">
        <v>8212</v>
      </c>
      <c r="C61" s="76" t="s">
        <v>455</v>
      </c>
      <c r="D61" s="79">
        <v>-2729</v>
      </c>
    </row>
    <row r="62" spans="1:4" x14ac:dyDescent="0.25">
      <c r="A62" s="94">
        <v>708</v>
      </c>
      <c r="B62" s="95">
        <v>10029</v>
      </c>
      <c r="C62" s="7" t="s">
        <v>705</v>
      </c>
      <c r="D62" s="23">
        <v>209.79</v>
      </c>
    </row>
    <row r="63" spans="1:4" x14ac:dyDescent="0.25">
      <c r="A63" s="94">
        <v>908</v>
      </c>
      <c r="B63" s="95">
        <v>9070</v>
      </c>
      <c r="C63" s="76" t="s">
        <v>463</v>
      </c>
      <c r="D63" s="79">
        <v>347.8</v>
      </c>
    </row>
    <row r="64" spans="1:4" x14ac:dyDescent="0.25">
      <c r="A64" s="94">
        <v>908</v>
      </c>
      <c r="B64" s="95">
        <v>9072</v>
      </c>
      <c r="C64" s="76" t="s">
        <v>464</v>
      </c>
      <c r="D64" s="79">
        <v>296.5</v>
      </c>
    </row>
    <row r="65" spans="1:4" x14ac:dyDescent="0.25">
      <c r="A65" s="94">
        <v>2208</v>
      </c>
      <c r="B65" s="95">
        <v>10837</v>
      </c>
      <c r="C65" s="7" t="s">
        <v>705</v>
      </c>
      <c r="D65" s="79">
        <v>8.73</v>
      </c>
    </row>
    <row r="66" spans="1:4" x14ac:dyDescent="0.25">
      <c r="A66" s="94">
        <v>2608</v>
      </c>
      <c r="B66" s="95">
        <v>10945</v>
      </c>
      <c r="C66" s="7" t="s">
        <v>705</v>
      </c>
      <c r="D66" s="79">
        <v>22.27</v>
      </c>
    </row>
    <row r="67" spans="1:4" x14ac:dyDescent="0.25">
      <c r="A67" s="94">
        <v>609</v>
      </c>
      <c r="B67" s="95">
        <v>11579</v>
      </c>
      <c r="C67" s="7" t="s">
        <v>705</v>
      </c>
      <c r="D67" s="79">
        <v>227.07</v>
      </c>
    </row>
    <row r="68" spans="1:4" x14ac:dyDescent="0.25">
      <c r="A68" s="94">
        <v>909</v>
      </c>
      <c r="B68" s="95">
        <v>11668</v>
      </c>
      <c r="C68" s="7" t="s">
        <v>705</v>
      </c>
      <c r="D68" s="79">
        <v>172.03</v>
      </c>
    </row>
    <row r="69" spans="1:4" x14ac:dyDescent="0.25">
      <c r="A69" s="94">
        <v>1009</v>
      </c>
      <c r="B69" s="95">
        <v>11800</v>
      </c>
      <c r="C69" s="7" t="s">
        <v>705</v>
      </c>
      <c r="D69" s="79">
        <v>7.06</v>
      </c>
    </row>
    <row r="70" spans="1:4" x14ac:dyDescent="0.25">
      <c r="A70" s="94">
        <v>1209</v>
      </c>
      <c r="B70" s="95"/>
      <c r="C70" s="10" t="s">
        <v>1016</v>
      </c>
      <c r="D70" s="79">
        <f>20.5+151-7.55</f>
        <v>163.95</v>
      </c>
    </row>
    <row r="71" spans="1:4" x14ac:dyDescent="0.25">
      <c r="A71" s="94">
        <v>1309</v>
      </c>
      <c r="B71" s="95">
        <v>11978</v>
      </c>
      <c r="C71" s="7" t="s">
        <v>705</v>
      </c>
      <c r="D71" s="79">
        <v>81.92</v>
      </c>
    </row>
    <row r="72" spans="1:4" x14ac:dyDescent="0.25">
      <c r="A72" s="94">
        <v>1309</v>
      </c>
      <c r="B72" s="95">
        <v>11450</v>
      </c>
      <c r="C72" s="76" t="s">
        <v>463</v>
      </c>
      <c r="D72" s="79">
        <v>19.78</v>
      </c>
    </row>
    <row r="73" spans="1:4" x14ac:dyDescent="0.25">
      <c r="A73" s="94">
        <v>1609</v>
      </c>
      <c r="B73" s="95">
        <v>11479</v>
      </c>
      <c r="C73" s="76" t="s">
        <v>464</v>
      </c>
      <c r="D73" s="79">
        <v>126</v>
      </c>
    </row>
    <row r="74" spans="1:4" x14ac:dyDescent="0.25">
      <c r="A74" s="94">
        <v>1609</v>
      </c>
      <c r="B74" s="95">
        <v>12035</v>
      </c>
      <c r="C74" s="7" t="s">
        <v>705</v>
      </c>
      <c r="D74" s="79">
        <v>45.8</v>
      </c>
    </row>
    <row r="75" spans="1:4" x14ac:dyDescent="0.25">
      <c r="A75" s="94">
        <v>1609</v>
      </c>
      <c r="B75" s="95">
        <v>12090</v>
      </c>
      <c r="C75" s="7" t="s">
        <v>705</v>
      </c>
      <c r="D75" s="79">
        <v>16.829999999999998</v>
      </c>
    </row>
    <row r="76" spans="1:4" x14ac:dyDescent="0.25">
      <c r="A76" s="94">
        <v>1809</v>
      </c>
      <c r="B76" s="95"/>
      <c r="C76" s="76" t="s">
        <v>1017</v>
      </c>
      <c r="D76" s="23">
        <v>352.6</v>
      </c>
    </row>
    <row r="77" spans="1:4" x14ac:dyDescent="0.25">
      <c r="A77" s="5">
        <v>43726</v>
      </c>
      <c r="B77" s="95"/>
      <c r="C77" s="7" t="s">
        <v>710</v>
      </c>
      <c r="D77" s="23">
        <v>1000</v>
      </c>
    </row>
    <row r="78" spans="1:4" x14ac:dyDescent="0.25">
      <c r="A78" s="94">
        <v>2309</v>
      </c>
      <c r="B78" s="95">
        <v>11844</v>
      </c>
      <c r="C78" s="76" t="s">
        <v>513</v>
      </c>
      <c r="D78" s="79">
        <v>36.53</v>
      </c>
    </row>
    <row r="79" spans="1:4" x14ac:dyDescent="0.25">
      <c r="A79" s="94">
        <v>2309</v>
      </c>
      <c r="B79" s="95">
        <v>11845</v>
      </c>
      <c r="C79" s="76" t="s">
        <v>513</v>
      </c>
      <c r="D79" s="79">
        <v>79</v>
      </c>
    </row>
    <row r="80" spans="1:4" x14ac:dyDescent="0.25">
      <c r="A80" s="94">
        <v>2309</v>
      </c>
      <c r="B80" s="95">
        <v>11848</v>
      </c>
      <c r="C80" s="76" t="s">
        <v>513</v>
      </c>
      <c r="D80" s="79">
        <v>280</v>
      </c>
    </row>
    <row r="81" spans="1:4" x14ac:dyDescent="0.25">
      <c r="A81" s="94">
        <v>2309</v>
      </c>
      <c r="B81" s="95">
        <v>11851</v>
      </c>
      <c r="C81" s="76" t="s">
        <v>514</v>
      </c>
      <c r="D81" s="79">
        <v>232.12</v>
      </c>
    </row>
    <row r="82" spans="1:4" x14ac:dyDescent="0.25">
      <c r="A82" s="94">
        <v>2309</v>
      </c>
      <c r="B82" s="95">
        <v>11853</v>
      </c>
      <c r="C82" s="76" t="s">
        <v>514</v>
      </c>
      <c r="D82" s="79">
        <v>17.399999999999995</v>
      </c>
    </row>
    <row r="83" spans="1:4" x14ac:dyDescent="0.25">
      <c r="A83" s="94">
        <v>2309</v>
      </c>
      <c r="B83" s="95">
        <v>11860</v>
      </c>
      <c r="C83" s="76" t="s">
        <v>515</v>
      </c>
      <c r="D83" s="79">
        <v>315</v>
      </c>
    </row>
    <row r="84" spans="1:4" x14ac:dyDescent="0.25">
      <c r="A84" s="94">
        <v>2309</v>
      </c>
      <c r="B84" s="95">
        <v>11870</v>
      </c>
      <c r="C84" s="76" t="s">
        <v>516</v>
      </c>
      <c r="D84" s="79">
        <v>970</v>
      </c>
    </row>
    <row r="85" spans="1:4" x14ac:dyDescent="0.25">
      <c r="A85" s="94">
        <v>2309</v>
      </c>
      <c r="B85" s="95">
        <v>11872</v>
      </c>
      <c r="C85" s="76" t="s">
        <v>517</v>
      </c>
      <c r="D85" s="79">
        <v>105.5</v>
      </c>
    </row>
    <row r="86" spans="1:4" x14ac:dyDescent="0.25">
      <c r="A86" s="94">
        <v>2309</v>
      </c>
      <c r="B86" s="95">
        <v>11877</v>
      </c>
      <c r="C86" s="76" t="s">
        <v>518</v>
      </c>
      <c r="D86" s="79">
        <v>286.60000000000002</v>
      </c>
    </row>
    <row r="87" spans="1:4" x14ac:dyDescent="0.25">
      <c r="A87" s="94">
        <v>2309</v>
      </c>
      <c r="B87" s="95">
        <v>11878</v>
      </c>
      <c r="C87" s="76" t="s">
        <v>519</v>
      </c>
      <c r="D87" s="79">
        <v>39.5</v>
      </c>
    </row>
    <row r="88" spans="1:4" x14ac:dyDescent="0.25">
      <c r="A88" s="94">
        <v>2409</v>
      </c>
      <c r="B88" s="95">
        <v>11918</v>
      </c>
      <c r="C88" s="76" t="s">
        <v>521</v>
      </c>
      <c r="D88" s="79">
        <v>11.5</v>
      </c>
    </row>
    <row r="89" spans="1:4" x14ac:dyDescent="0.25">
      <c r="A89" s="94">
        <v>2409</v>
      </c>
      <c r="B89" s="95">
        <v>11922</v>
      </c>
      <c r="C89" s="76" t="s">
        <v>521</v>
      </c>
      <c r="D89" s="79">
        <v>62.79</v>
      </c>
    </row>
    <row r="90" spans="1:4" x14ac:dyDescent="0.25">
      <c r="A90" s="94">
        <v>2409</v>
      </c>
      <c r="B90" s="95">
        <v>11925</v>
      </c>
      <c r="C90" s="76" t="s">
        <v>521</v>
      </c>
      <c r="D90" s="79">
        <v>55.47</v>
      </c>
    </row>
    <row r="91" spans="1:4" x14ac:dyDescent="0.25">
      <c r="A91" s="94">
        <v>2409</v>
      </c>
      <c r="B91" s="95">
        <v>11930</v>
      </c>
      <c r="C91" s="76" t="s">
        <v>521</v>
      </c>
      <c r="D91" s="79">
        <v>16</v>
      </c>
    </row>
    <row r="92" spans="1:4" x14ac:dyDescent="0.25">
      <c r="A92" s="94">
        <v>2409</v>
      </c>
      <c r="B92" s="95">
        <v>11931</v>
      </c>
      <c r="C92" s="76" t="s">
        <v>521</v>
      </c>
      <c r="D92" s="79">
        <v>94.07</v>
      </c>
    </row>
    <row r="93" spans="1:4" x14ac:dyDescent="0.25">
      <c r="A93" s="94">
        <v>2409</v>
      </c>
      <c r="B93" s="95">
        <v>11932</v>
      </c>
      <c r="C93" s="76" t="s">
        <v>521</v>
      </c>
      <c r="D93" s="79">
        <v>45.25</v>
      </c>
    </row>
    <row r="94" spans="1:4" x14ac:dyDescent="0.25">
      <c r="A94" s="94">
        <v>2409</v>
      </c>
      <c r="B94" s="95">
        <v>11933</v>
      </c>
      <c r="C94" s="76" t="s">
        <v>524</v>
      </c>
      <c r="D94" s="79">
        <v>378.57</v>
      </c>
    </row>
    <row r="95" spans="1:4" x14ac:dyDescent="0.25">
      <c r="A95" s="94">
        <v>2409</v>
      </c>
      <c r="B95" s="95">
        <v>11934</v>
      </c>
      <c r="C95" s="76" t="s">
        <v>524</v>
      </c>
      <c r="D95" s="79">
        <v>100</v>
      </c>
    </row>
    <row r="96" spans="1:4" x14ac:dyDescent="0.25">
      <c r="A96" s="94">
        <v>2709</v>
      </c>
      <c r="B96" s="95">
        <v>12377</v>
      </c>
      <c r="C96" s="76" t="s">
        <v>530</v>
      </c>
      <c r="D96" s="79">
        <v>27.2</v>
      </c>
    </row>
    <row r="97" spans="1:4" x14ac:dyDescent="0.25">
      <c r="A97" s="94">
        <v>2709</v>
      </c>
      <c r="B97" s="95">
        <v>12446</v>
      </c>
      <c r="C97" s="76" t="s">
        <v>534</v>
      </c>
      <c r="D97" s="79">
        <v>60</v>
      </c>
    </row>
    <row r="98" spans="1:4" x14ac:dyDescent="0.25">
      <c r="A98" s="94">
        <v>2709</v>
      </c>
      <c r="B98" s="95">
        <v>12448</v>
      </c>
      <c r="C98" s="76" t="s">
        <v>535</v>
      </c>
      <c r="D98" s="79">
        <v>30</v>
      </c>
    </row>
    <row r="99" spans="1:4" x14ac:dyDescent="0.25">
      <c r="A99" s="94">
        <v>2709</v>
      </c>
      <c r="B99" s="95">
        <v>12479</v>
      </c>
      <c r="C99" s="76" t="s">
        <v>536</v>
      </c>
      <c r="D99" s="79">
        <v>59.45</v>
      </c>
    </row>
    <row r="100" spans="1:4" x14ac:dyDescent="0.25">
      <c r="A100" s="5">
        <v>43742</v>
      </c>
      <c r="B100" s="95"/>
      <c r="C100" s="7" t="s">
        <v>699</v>
      </c>
      <c r="D100" s="23">
        <f>3214.4+1237.28</f>
        <v>4451.68</v>
      </c>
    </row>
    <row r="101" spans="1:4" x14ac:dyDescent="0.25">
      <c r="A101" s="5">
        <v>43752</v>
      </c>
      <c r="B101" s="95" t="s">
        <v>1018</v>
      </c>
      <c r="C101" s="76" t="s">
        <v>1019</v>
      </c>
      <c r="D101" s="23">
        <f>33-12</f>
        <v>21</v>
      </c>
    </row>
    <row r="102" spans="1:4" x14ac:dyDescent="0.25">
      <c r="A102" s="5">
        <v>43759</v>
      </c>
      <c r="B102" s="95"/>
      <c r="C102" s="76" t="s">
        <v>1020</v>
      </c>
      <c r="D102" s="23">
        <v>-8.4</v>
      </c>
    </row>
    <row r="103" spans="1:4" x14ac:dyDescent="0.25">
      <c r="A103" s="31"/>
      <c r="B103" s="95"/>
      <c r="C103" s="7"/>
      <c r="D103" s="23"/>
    </row>
    <row r="104" spans="1:4" x14ac:dyDescent="0.25">
      <c r="B104" s="44"/>
      <c r="C104" s="45" t="s">
        <v>795</v>
      </c>
      <c r="D104" s="23">
        <f>'[2]CONSUMO E SERVIÇO'!$F$73</f>
        <v>36.549999999999997</v>
      </c>
    </row>
    <row r="105" spans="1:4" x14ac:dyDescent="0.25">
      <c r="B105" s="94">
        <v>1605</v>
      </c>
      <c r="C105" s="10" t="s">
        <v>1021</v>
      </c>
      <c r="D105" s="23">
        <f>73.99+9.5</f>
        <v>83.49</v>
      </c>
    </row>
    <row r="106" spans="1:4" x14ac:dyDescent="0.25">
      <c r="B106" s="94">
        <v>1605</v>
      </c>
      <c r="C106" s="10" t="s">
        <v>838</v>
      </c>
      <c r="D106" s="23">
        <v>-46.94</v>
      </c>
    </row>
    <row r="107" spans="1:4" x14ac:dyDescent="0.25">
      <c r="B107" s="44"/>
      <c r="C107" s="10"/>
      <c r="D107" s="23"/>
    </row>
    <row r="108" spans="1:4" x14ac:dyDescent="0.25">
      <c r="B108" s="44"/>
      <c r="C108" s="10" t="s">
        <v>703</v>
      </c>
      <c r="D108" s="48">
        <f>D104-SUM(D105:D107)</f>
        <v>0</v>
      </c>
    </row>
    <row r="110" spans="1:4" x14ac:dyDescent="0.25">
      <c r="B110" s="44"/>
      <c r="C110" s="45" t="s">
        <v>932</v>
      </c>
      <c r="D110" s="23">
        <v>3044.07</v>
      </c>
    </row>
    <row r="111" spans="1:4" x14ac:dyDescent="0.25">
      <c r="B111" s="5">
        <v>43619</v>
      </c>
      <c r="C111" s="7" t="s">
        <v>1022</v>
      </c>
      <c r="D111" s="24">
        <f>-(790.38+1185.57)</f>
        <v>-1975.9499999999998</v>
      </c>
    </row>
    <row r="112" spans="1:4" x14ac:dyDescent="0.25">
      <c r="B112" s="5">
        <v>43742</v>
      </c>
      <c r="C112" s="7" t="s">
        <v>699</v>
      </c>
      <c r="D112" s="23">
        <f>3214.4+1237.28</f>
        <v>4451.68</v>
      </c>
    </row>
    <row r="113" spans="1:4" x14ac:dyDescent="0.25">
      <c r="B113" s="44"/>
      <c r="C113" s="10"/>
      <c r="D113" s="23"/>
    </row>
    <row r="114" spans="1:4" x14ac:dyDescent="0.25">
      <c r="B114" s="44"/>
      <c r="C114" s="10" t="s">
        <v>703</v>
      </c>
      <c r="D114" s="48">
        <f>SUM(D110:D113)</f>
        <v>5519.8000000000011</v>
      </c>
    </row>
    <row r="117" spans="1:4" x14ac:dyDescent="0.25">
      <c r="A117" s="232" t="s">
        <v>718</v>
      </c>
      <c r="B117" s="232"/>
      <c r="C117" s="232"/>
      <c r="D117" s="148">
        <f>D77</f>
        <v>1000</v>
      </c>
    </row>
    <row r="118" spans="1:4" x14ac:dyDescent="0.25">
      <c r="A118" s="94">
        <v>1809</v>
      </c>
      <c r="B118" s="95">
        <v>12202</v>
      </c>
      <c r="C118" s="7" t="s">
        <v>705</v>
      </c>
      <c r="D118" s="79">
        <v>14.21</v>
      </c>
    </row>
    <row r="119" spans="1:4" x14ac:dyDescent="0.25">
      <c r="A119" s="94">
        <v>2409</v>
      </c>
      <c r="B119" s="95">
        <v>12411</v>
      </c>
      <c r="C119" s="7" t="s">
        <v>705</v>
      </c>
      <c r="D119" s="23">
        <v>7.28</v>
      </c>
    </row>
    <row r="120" spans="1:4" x14ac:dyDescent="0.25">
      <c r="A120" s="94">
        <v>1710</v>
      </c>
      <c r="B120" s="95">
        <v>13562</v>
      </c>
      <c r="C120" s="7" t="s">
        <v>705</v>
      </c>
      <c r="D120" s="23">
        <v>33.229999999999997</v>
      </c>
    </row>
    <row r="121" spans="1:4" x14ac:dyDescent="0.25">
      <c r="A121" s="94">
        <v>411</v>
      </c>
      <c r="B121" s="95">
        <v>14323</v>
      </c>
      <c r="C121" s="7" t="s">
        <v>705</v>
      </c>
      <c r="D121" s="23">
        <v>2</v>
      </c>
    </row>
    <row r="122" spans="1:4" x14ac:dyDescent="0.25">
      <c r="A122" s="10"/>
      <c r="B122" s="147"/>
      <c r="C122" s="10"/>
      <c r="D122" s="23"/>
    </row>
    <row r="123" spans="1:4" x14ac:dyDescent="0.25">
      <c r="A123" s="10"/>
      <c r="B123" s="147"/>
      <c r="C123" s="10"/>
      <c r="D123" s="23"/>
    </row>
    <row r="124" spans="1:4" x14ac:dyDescent="0.25">
      <c r="A124" s="10"/>
      <c r="B124" s="147"/>
      <c r="C124" s="10"/>
      <c r="D124" s="23"/>
    </row>
    <row r="125" spans="1:4" x14ac:dyDescent="0.25">
      <c r="A125" s="10"/>
      <c r="B125" s="147"/>
      <c r="C125" s="10"/>
      <c r="D125" s="23"/>
    </row>
    <row r="126" spans="1:4" x14ac:dyDescent="0.25">
      <c r="A126" s="10"/>
      <c r="B126" s="147"/>
      <c r="C126" s="10"/>
      <c r="D126" s="23"/>
    </row>
    <row r="127" spans="1:4" x14ac:dyDescent="0.25">
      <c r="A127" s="151"/>
      <c r="B127" s="152"/>
      <c r="C127" s="151"/>
      <c r="D127" s="23"/>
    </row>
    <row r="128" spans="1:4" x14ac:dyDescent="0.25">
      <c r="A128" s="232" t="s">
        <v>703</v>
      </c>
      <c r="B128" s="232"/>
      <c r="C128" s="232"/>
      <c r="D128" s="148">
        <f>D117-SUM(D118:D127)</f>
        <v>943.28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117:C117"/>
    <mergeCell ref="A128:C128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9.85546875" customWidth="1"/>
    <col min="4" max="4" width="13.28515625" customWidth="1"/>
    <col min="5" max="5" width="2.7109375" customWidth="1"/>
    <col min="6" max="6" width="11.5703125" customWidth="1"/>
    <col min="7" max="7" width="15.5703125" customWidth="1"/>
    <col min="8" max="8" width="54.28515625" customWidth="1"/>
    <col min="9" max="9" width="13.28515625" customWidth="1"/>
    <col min="10" max="10" width="3.28515625" customWidth="1"/>
    <col min="11" max="11" width="11.5703125" customWidth="1"/>
    <col min="12" max="12" width="11.85546875" customWidth="1"/>
    <col min="13" max="13" width="58.28515625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1023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Geral!D36</f>
        <v>29128.452166000003</v>
      </c>
      <c r="F6" s="211" t="s">
        <v>687</v>
      </c>
      <c r="G6" s="212"/>
      <c r="H6" s="14" t="s">
        <v>582</v>
      </c>
      <c r="I6" s="24">
        <f>Geral!E36</f>
        <v>18569.281739285714</v>
      </c>
      <c r="K6" s="230" t="s">
        <v>688</v>
      </c>
      <c r="L6" s="230"/>
      <c r="M6" s="4" t="s">
        <v>582</v>
      </c>
      <c r="N6" s="24">
        <f>Geral!F36</f>
        <v>26387.74</v>
      </c>
    </row>
    <row r="7" spans="1:14" ht="15" customHeight="1" x14ac:dyDescent="0.25">
      <c r="A7" s="230"/>
      <c r="B7" s="230"/>
      <c r="C7" s="3" t="s">
        <v>583</v>
      </c>
      <c r="D7" s="24">
        <f>SUM(D10:D119)</f>
        <v>29128.45</v>
      </c>
      <c r="F7" s="213"/>
      <c r="G7" s="214"/>
      <c r="H7" s="14" t="s">
        <v>583</v>
      </c>
      <c r="I7" s="24">
        <f>SUM(I10:I47)</f>
        <v>18000.489999999998</v>
      </c>
      <c r="K7" s="230"/>
      <c r="L7" s="230"/>
      <c r="M7" s="4" t="s">
        <v>583</v>
      </c>
      <c r="N7" s="24">
        <f>SUM(N10:N34)</f>
        <v>26387.74</v>
      </c>
    </row>
    <row r="8" spans="1:14" ht="15" customHeight="1" x14ac:dyDescent="0.25">
      <c r="A8" s="230"/>
      <c r="B8" s="230"/>
      <c r="C8" s="3" t="s">
        <v>584</v>
      </c>
      <c r="D8" s="24">
        <f>D6-D7</f>
        <v>2.166000002034707E-3</v>
      </c>
      <c r="F8" s="215"/>
      <c r="G8" s="216"/>
      <c r="H8" s="14" t="s">
        <v>584</v>
      </c>
      <c r="I8" s="24">
        <f>I6-I7</f>
        <v>568.79173928571618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43531</v>
      </c>
      <c r="B10" s="6"/>
      <c r="C10" s="7" t="s">
        <v>893</v>
      </c>
      <c r="D10" s="24">
        <v>3000</v>
      </c>
      <c r="F10" s="5">
        <v>43571</v>
      </c>
      <c r="G10" s="6" t="s">
        <v>1024</v>
      </c>
      <c r="H10" s="7" t="s">
        <v>1025</v>
      </c>
      <c r="I10" s="24">
        <f>1958.51+792.85</f>
        <v>2751.36</v>
      </c>
      <c r="K10" s="94">
        <v>606</v>
      </c>
      <c r="L10" s="95">
        <v>5875</v>
      </c>
      <c r="M10" s="76" t="s">
        <v>376</v>
      </c>
      <c r="N10" s="79">
        <v>9000</v>
      </c>
    </row>
    <row r="11" spans="1:14" x14ac:dyDescent="0.25">
      <c r="A11" s="5">
        <v>43537</v>
      </c>
      <c r="B11" s="6" t="s">
        <v>1026</v>
      </c>
      <c r="C11" s="7" t="s">
        <v>1027</v>
      </c>
      <c r="D11" s="24">
        <v>52</v>
      </c>
      <c r="F11" s="5">
        <v>43571</v>
      </c>
      <c r="G11" s="6" t="s">
        <v>1028</v>
      </c>
      <c r="H11" s="7" t="s">
        <v>1029</v>
      </c>
      <c r="I11" s="24">
        <f>1594.64+624.7</f>
        <v>2219.34</v>
      </c>
      <c r="K11" s="94">
        <v>606</v>
      </c>
      <c r="L11" s="95">
        <v>5876</v>
      </c>
      <c r="M11" s="76" t="s">
        <v>377</v>
      </c>
      <c r="N11" s="79">
        <v>5000</v>
      </c>
    </row>
    <row r="12" spans="1:14" x14ac:dyDescent="0.25">
      <c r="A12" s="94">
        <v>1503</v>
      </c>
      <c r="B12" s="95">
        <v>2359</v>
      </c>
      <c r="C12" s="76" t="s">
        <v>224</v>
      </c>
      <c r="D12" s="79">
        <v>225.26</v>
      </c>
      <c r="F12" s="5">
        <v>43571</v>
      </c>
      <c r="G12" s="6" t="s">
        <v>1030</v>
      </c>
      <c r="H12" s="7" t="s">
        <v>1031</v>
      </c>
      <c r="I12" s="24">
        <v>1068.5</v>
      </c>
      <c r="K12" s="94">
        <v>606</v>
      </c>
      <c r="L12" s="95">
        <v>5879</v>
      </c>
      <c r="M12" s="76" t="s">
        <v>378</v>
      </c>
      <c r="N12" s="79">
        <v>2000</v>
      </c>
    </row>
    <row r="13" spans="1:14" x14ac:dyDescent="0.25">
      <c r="A13" s="94">
        <v>1503</v>
      </c>
      <c r="B13" s="95">
        <v>2367</v>
      </c>
      <c r="C13" s="76" t="s">
        <v>226</v>
      </c>
      <c r="D13" s="79">
        <v>159.4</v>
      </c>
      <c r="F13" s="5">
        <v>43572</v>
      </c>
      <c r="G13" s="9" t="s">
        <v>1032</v>
      </c>
      <c r="H13" s="7" t="s">
        <v>1033</v>
      </c>
      <c r="I13" s="23">
        <f>1094.2+2354.28</f>
        <v>3448.4800000000005</v>
      </c>
      <c r="K13" s="94">
        <v>606</v>
      </c>
      <c r="L13" s="95">
        <v>5881</v>
      </c>
      <c r="M13" s="76" t="s">
        <v>379</v>
      </c>
      <c r="N13" s="79">
        <v>4488</v>
      </c>
    </row>
    <row r="14" spans="1:14" x14ac:dyDescent="0.25">
      <c r="A14" s="5">
        <v>43545</v>
      </c>
      <c r="B14" s="95">
        <v>3358</v>
      </c>
      <c r="C14" s="7" t="s">
        <v>705</v>
      </c>
      <c r="D14" s="24">
        <v>583.17999999999995</v>
      </c>
      <c r="F14" s="5">
        <v>43578</v>
      </c>
      <c r="G14" s="9"/>
      <c r="H14" s="7" t="s">
        <v>1034</v>
      </c>
      <c r="I14" s="24">
        <f>124.55*0.7</f>
        <v>87.184999999999988</v>
      </c>
      <c r="K14" s="94">
        <v>606</v>
      </c>
      <c r="L14" s="95">
        <v>5882</v>
      </c>
      <c r="M14" s="76" t="s">
        <v>380</v>
      </c>
      <c r="N14" s="79">
        <v>1555.54</v>
      </c>
    </row>
    <row r="15" spans="1:14" x14ac:dyDescent="0.25">
      <c r="A15" s="5">
        <v>43545</v>
      </c>
      <c r="B15" s="6"/>
      <c r="C15" s="7" t="s">
        <v>692</v>
      </c>
      <c r="D15" s="24">
        <v>-401.24</v>
      </c>
      <c r="F15" s="5">
        <v>43578</v>
      </c>
      <c r="G15" s="6"/>
      <c r="H15" s="7" t="s">
        <v>1035</v>
      </c>
      <c r="I15" s="24">
        <f>96.15*0.7</f>
        <v>67.304999999999993</v>
      </c>
      <c r="K15" s="94">
        <v>606</v>
      </c>
      <c r="L15" s="95">
        <v>5883</v>
      </c>
      <c r="M15" s="76" t="s">
        <v>381</v>
      </c>
      <c r="N15" s="79">
        <v>600</v>
      </c>
    </row>
    <row r="16" spans="1:14" x14ac:dyDescent="0.25">
      <c r="A16" s="5">
        <v>43549</v>
      </c>
      <c r="B16" s="95">
        <v>3468</v>
      </c>
      <c r="C16" s="7" t="s">
        <v>705</v>
      </c>
      <c r="D16" s="24">
        <v>45.34</v>
      </c>
      <c r="F16" s="5">
        <v>43591</v>
      </c>
      <c r="G16" s="6"/>
      <c r="H16" s="7" t="s">
        <v>1036</v>
      </c>
      <c r="I16" s="23">
        <f>124.55*0.7</f>
        <v>87.184999999999988</v>
      </c>
      <c r="K16" s="94">
        <v>706</v>
      </c>
      <c r="L16" s="95">
        <v>5964</v>
      </c>
      <c r="M16" s="76" t="s">
        <v>391</v>
      </c>
      <c r="N16" s="79">
        <v>740.2</v>
      </c>
    </row>
    <row r="17" spans="1:14" x14ac:dyDescent="0.25">
      <c r="A17" s="5">
        <v>43549</v>
      </c>
      <c r="B17" s="95">
        <v>3494</v>
      </c>
      <c r="C17" s="7" t="s">
        <v>705</v>
      </c>
      <c r="D17" s="24">
        <v>222.47</v>
      </c>
      <c r="F17" s="5">
        <v>43591</v>
      </c>
      <c r="G17" s="6"/>
      <c r="H17" s="7" t="s">
        <v>1037</v>
      </c>
      <c r="I17" s="23">
        <f>124.55*0.7</f>
        <v>87.184999999999988</v>
      </c>
      <c r="K17" s="94">
        <v>706</v>
      </c>
      <c r="L17" s="95">
        <v>5965</v>
      </c>
      <c r="M17" s="76" t="s">
        <v>392</v>
      </c>
      <c r="N17" s="79">
        <v>485</v>
      </c>
    </row>
    <row r="18" spans="1:14" x14ac:dyDescent="0.25">
      <c r="A18" s="11">
        <v>43552</v>
      </c>
      <c r="B18" s="95">
        <v>3720</v>
      </c>
      <c r="C18" s="7" t="s">
        <v>705</v>
      </c>
      <c r="D18" s="24">
        <v>4.12</v>
      </c>
      <c r="F18" s="5">
        <v>43591</v>
      </c>
      <c r="G18" s="6" t="s">
        <v>1038</v>
      </c>
      <c r="H18" s="7" t="s">
        <v>1025</v>
      </c>
      <c r="I18" s="24">
        <f>1238.43-381.36</f>
        <v>857.07</v>
      </c>
      <c r="K18" s="94">
        <v>1006</v>
      </c>
      <c r="L18" s="95">
        <v>6035</v>
      </c>
      <c r="M18" s="76" t="s">
        <v>396</v>
      </c>
      <c r="N18" s="79">
        <v>1120</v>
      </c>
    </row>
    <row r="19" spans="1:14" x14ac:dyDescent="0.25">
      <c r="A19" s="11">
        <v>43556</v>
      </c>
      <c r="B19" s="95">
        <v>3770</v>
      </c>
      <c r="C19" s="7" t="s">
        <v>705</v>
      </c>
      <c r="D19" s="23">
        <v>32.54</v>
      </c>
      <c r="F19" s="5">
        <v>43591</v>
      </c>
      <c r="G19" s="6" t="s">
        <v>1039</v>
      </c>
      <c r="H19" s="7" t="s">
        <v>1029</v>
      </c>
      <c r="I19" s="24">
        <f>1014.56-302.04</f>
        <v>712.52</v>
      </c>
      <c r="K19" s="94">
        <v>1006</v>
      </c>
      <c r="L19" s="95">
        <v>6039</v>
      </c>
      <c r="M19" s="76" t="s">
        <v>397</v>
      </c>
      <c r="N19" s="79">
        <v>1045</v>
      </c>
    </row>
    <row r="20" spans="1:14" x14ac:dyDescent="0.25">
      <c r="A20" s="11">
        <v>43556</v>
      </c>
      <c r="B20" s="95">
        <v>3855</v>
      </c>
      <c r="C20" s="7" t="s">
        <v>705</v>
      </c>
      <c r="D20" s="23">
        <v>14.3</v>
      </c>
      <c r="F20" s="5">
        <v>43592</v>
      </c>
      <c r="G20" s="6"/>
      <c r="H20" s="7" t="s">
        <v>1040</v>
      </c>
      <c r="I20" s="24">
        <f>(124.55*2)*0.7</f>
        <v>174.36999999999998</v>
      </c>
      <c r="K20" s="94">
        <v>1006</v>
      </c>
      <c r="L20" s="95">
        <v>6043</v>
      </c>
      <c r="M20" s="76" t="s">
        <v>398</v>
      </c>
      <c r="N20" s="79">
        <v>354</v>
      </c>
    </row>
    <row r="21" spans="1:14" x14ac:dyDescent="0.25">
      <c r="A21" s="5">
        <v>43557</v>
      </c>
      <c r="B21" s="95">
        <v>3983</v>
      </c>
      <c r="C21" s="7" t="s">
        <v>705</v>
      </c>
      <c r="D21" s="24">
        <v>4.7699999999999996</v>
      </c>
      <c r="F21" s="5">
        <v>43621</v>
      </c>
      <c r="G21" s="6" t="s">
        <v>1041</v>
      </c>
      <c r="H21" s="7" t="s">
        <v>1042</v>
      </c>
      <c r="I21" s="24">
        <v>578.29999999999995</v>
      </c>
      <c r="K21" s="68"/>
      <c r="L21" s="71"/>
      <c r="M21" s="10"/>
      <c r="N21" s="23"/>
    </row>
    <row r="22" spans="1:14" x14ac:dyDescent="0.25">
      <c r="A22" s="5">
        <v>43558</v>
      </c>
      <c r="B22" s="95">
        <v>4088</v>
      </c>
      <c r="C22" s="7" t="s">
        <v>705</v>
      </c>
      <c r="D22" s="24">
        <v>213.84</v>
      </c>
      <c r="F22" s="5">
        <v>43623</v>
      </c>
      <c r="G22" s="6" t="s">
        <v>1043</v>
      </c>
      <c r="H22" s="7" t="s">
        <v>1044</v>
      </c>
      <c r="I22" s="24">
        <f>817.24+673.41</f>
        <v>1490.65</v>
      </c>
      <c r="K22" s="68"/>
      <c r="L22" s="71"/>
      <c r="M22" s="10"/>
      <c r="N22" s="23"/>
    </row>
    <row r="23" spans="1:14" x14ac:dyDescent="0.25">
      <c r="A23" s="5">
        <v>43558</v>
      </c>
      <c r="B23" s="6" t="s">
        <v>1045</v>
      </c>
      <c r="C23" s="7" t="s">
        <v>1046</v>
      </c>
      <c r="D23" s="24">
        <v>296.8</v>
      </c>
      <c r="F23" s="5">
        <v>43627</v>
      </c>
      <c r="G23" s="6"/>
      <c r="H23" s="7" t="s">
        <v>1047</v>
      </c>
      <c r="I23" s="24">
        <f>249.1*0.7</f>
        <v>174.36999999999998</v>
      </c>
      <c r="K23" s="68"/>
      <c r="L23" s="71"/>
      <c r="M23" s="10"/>
      <c r="N23" s="23"/>
    </row>
    <row r="24" spans="1:14" x14ac:dyDescent="0.25">
      <c r="A24" s="5">
        <v>43559</v>
      </c>
      <c r="B24" s="95">
        <v>4284</v>
      </c>
      <c r="C24" s="7" t="s">
        <v>705</v>
      </c>
      <c r="D24" s="24">
        <v>129.46</v>
      </c>
      <c r="F24" s="5">
        <v>43671</v>
      </c>
      <c r="G24" s="6" t="s">
        <v>1048</v>
      </c>
      <c r="H24" s="7" t="s">
        <v>1049</v>
      </c>
      <c r="I24" s="24">
        <v>1507.8699999999997</v>
      </c>
      <c r="K24" s="68"/>
      <c r="L24" s="71"/>
      <c r="M24" s="10"/>
      <c r="N24" s="23"/>
    </row>
    <row r="25" spans="1:14" x14ac:dyDescent="0.25">
      <c r="A25" s="5">
        <v>43564</v>
      </c>
      <c r="B25" s="95">
        <v>4484</v>
      </c>
      <c r="C25" s="7" t="s">
        <v>705</v>
      </c>
      <c r="D25" s="24">
        <v>41.82</v>
      </c>
      <c r="F25" s="5">
        <v>43684</v>
      </c>
      <c r="G25" s="6"/>
      <c r="H25" s="7" t="s">
        <v>1050</v>
      </c>
      <c r="I25" s="24">
        <f>(100.45*2)*0.7</f>
        <v>140.63</v>
      </c>
      <c r="K25" s="68"/>
      <c r="L25" s="71"/>
      <c r="M25" s="10"/>
      <c r="N25" s="23"/>
    </row>
    <row r="26" spans="1:14" x14ac:dyDescent="0.25">
      <c r="A26" s="5">
        <v>43566</v>
      </c>
      <c r="B26" s="95">
        <v>4628</v>
      </c>
      <c r="C26" s="7" t="s">
        <v>705</v>
      </c>
      <c r="D26" s="23">
        <v>22.92</v>
      </c>
      <c r="F26" s="5">
        <v>43685</v>
      </c>
      <c r="G26" s="6"/>
      <c r="H26" s="7" t="s">
        <v>1051</v>
      </c>
      <c r="I26" s="24">
        <f>100.45*2*0.7</f>
        <v>140.63</v>
      </c>
      <c r="K26" s="68"/>
      <c r="L26" s="71"/>
      <c r="M26" s="10"/>
      <c r="N26" s="23"/>
    </row>
    <row r="27" spans="1:14" x14ac:dyDescent="0.25">
      <c r="A27" s="5">
        <v>43566</v>
      </c>
      <c r="B27" s="95">
        <v>4676</v>
      </c>
      <c r="C27" s="7" t="s">
        <v>705</v>
      </c>
      <c r="D27" s="23">
        <v>10.119999999999999</v>
      </c>
      <c r="F27" s="5">
        <v>43685</v>
      </c>
      <c r="G27" s="6"/>
      <c r="H27" s="7" t="s">
        <v>1052</v>
      </c>
      <c r="I27" s="24">
        <f>100.45*0.7</f>
        <v>70.314999999999998</v>
      </c>
      <c r="K27" s="68"/>
      <c r="L27" s="71"/>
      <c r="M27" s="10"/>
      <c r="N27" s="23"/>
    </row>
    <row r="28" spans="1:14" x14ac:dyDescent="0.25">
      <c r="A28" s="5">
        <v>43572</v>
      </c>
      <c r="B28" s="95">
        <v>3900</v>
      </c>
      <c r="C28" s="10" t="s">
        <v>316</v>
      </c>
      <c r="D28" s="23">
        <v>1372.67</v>
      </c>
      <c r="F28" s="5">
        <v>43686</v>
      </c>
      <c r="G28" s="6"/>
      <c r="H28" s="7" t="s">
        <v>1053</v>
      </c>
      <c r="I28" s="24">
        <f>100.45*0.7</f>
        <v>70.314999999999998</v>
      </c>
      <c r="K28" s="46"/>
      <c r="L28" s="78"/>
      <c r="M28" s="76"/>
      <c r="N28" s="79"/>
    </row>
    <row r="29" spans="1:14" x14ac:dyDescent="0.25">
      <c r="A29" s="5">
        <v>43577</v>
      </c>
      <c r="B29" s="95">
        <v>5090</v>
      </c>
      <c r="C29" s="7" t="s">
        <v>705</v>
      </c>
      <c r="D29" s="23">
        <v>57.25</v>
      </c>
      <c r="F29" s="5">
        <v>43686</v>
      </c>
      <c r="G29" s="6" t="s">
        <v>1054</v>
      </c>
      <c r="H29" s="7" t="s">
        <v>1055</v>
      </c>
      <c r="I29" s="24">
        <f>946.7+688.99</f>
        <v>1635.69</v>
      </c>
      <c r="K29" s="68"/>
      <c r="L29" s="71"/>
      <c r="M29" s="10"/>
      <c r="N29" s="23"/>
    </row>
    <row r="30" spans="1:14" x14ac:dyDescent="0.25">
      <c r="A30" s="5">
        <v>43577</v>
      </c>
      <c r="B30" s="95">
        <v>5151</v>
      </c>
      <c r="C30" s="7" t="s">
        <v>705</v>
      </c>
      <c r="D30" s="23">
        <v>116.11000000000001</v>
      </c>
      <c r="F30" s="5">
        <v>43742</v>
      </c>
      <c r="G30" s="6" t="s">
        <v>1056</v>
      </c>
      <c r="H30" s="7" t="s">
        <v>1057</v>
      </c>
      <c r="I30" s="24">
        <v>631.22</v>
      </c>
      <c r="K30" s="68"/>
      <c r="L30" s="71"/>
      <c r="M30" s="10"/>
      <c r="N30" s="23"/>
    </row>
    <row r="31" spans="1:14" x14ac:dyDescent="0.25">
      <c r="A31" s="5">
        <v>43577</v>
      </c>
      <c r="B31" s="95">
        <v>5154</v>
      </c>
      <c r="C31" s="7" t="s">
        <v>705</v>
      </c>
      <c r="D31" s="23">
        <v>181.19</v>
      </c>
      <c r="F31" s="5"/>
      <c r="G31" s="6"/>
      <c r="H31" s="7"/>
      <c r="I31" s="24"/>
      <c r="K31" s="68"/>
      <c r="L31" s="71"/>
      <c r="M31" s="10"/>
      <c r="N31" s="23"/>
    </row>
    <row r="32" spans="1:14" x14ac:dyDescent="0.25">
      <c r="A32" s="5">
        <v>43580</v>
      </c>
      <c r="B32" s="95">
        <v>5256</v>
      </c>
      <c r="C32" s="7" t="s">
        <v>705</v>
      </c>
      <c r="D32" s="23">
        <v>178.62</v>
      </c>
      <c r="F32" s="5"/>
      <c r="G32" s="6"/>
      <c r="H32" s="7"/>
      <c r="I32" s="24"/>
      <c r="K32" s="68"/>
      <c r="L32" s="71"/>
      <c r="M32" s="10"/>
      <c r="N32" s="23"/>
    </row>
    <row r="33" spans="1:14" x14ac:dyDescent="0.25">
      <c r="A33" s="5">
        <v>43581</v>
      </c>
      <c r="B33" s="95">
        <v>5349</v>
      </c>
      <c r="C33" s="7" t="s">
        <v>705</v>
      </c>
      <c r="D33" s="23">
        <v>5.95</v>
      </c>
      <c r="F33" s="5"/>
      <c r="G33" s="6"/>
      <c r="H33" s="7"/>
      <c r="I33" s="24"/>
      <c r="K33" s="68"/>
      <c r="L33" s="71"/>
      <c r="M33" s="10"/>
      <c r="N33" s="23"/>
    </row>
    <row r="34" spans="1:14" x14ac:dyDescent="0.25">
      <c r="A34" s="5">
        <v>43581</v>
      </c>
      <c r="B34" s="95">
        <v>5373</v>
      </c>
      <c r="C34" s="7" t="s">
        <v>705</v>
      </c>
      <c r="D34" s="23">
        <v>151.03</v>
      </c>
      <c r="F34" s="5"/>
      <c r="G34" s="6"/>
      <c r="H34" s="7"/>
      <c r="I34" s="24"/>
      <c r="K34" s="68"/>
      <c r="L34" s="71"/>
      <c r="M34" s="10"/>
      <c r="N34" s="23"/>
    </row>
    <row r="35" spans="1:14" x14ac:dyDescent="0.25">
      <c r="A35" s="5">
        <v>43581</v>
      </c>
      <c r="B35" s="6"/>
      <c r="C35" s="10" t="s">
        <v>1058</v>
      </c>
      <c r="D35" s="23">
        <v>20</v>
      </c>
      <c r="F35" s="5"/>
      <c r="G35" s="6"/>
      <c r="H35" s="7"/>
      <c r="I35" s="24"/>
    </row>
    <row r="36" spans="1:14" x14ac:dyDescent="0.25">
      <c r="A36" s="5">
        <v>43581</v>
      </c>
      <c r="B36" s="6"/>
      <c r="C36" s="10" t="s">
        <v>1059</v>
      </c>
      <c r="D36" s="23">
        <v>20</v>
      </c>
      <c r="F36" s="5"/>
      <c r="G36" s="6"/>
      <c r="H36" s="7"/>
      <c r="I36" s="24"/>
      <c r="J36" s="68"/>
    </row>
    <row r="37" spans="1:14" x14ac:dyDescent="0.25">
      <c r="A37" s="5">
        <v>43581</v>
      </c>
      <c r="B37" s="6"/>
      <c r="C37" s="10" t="s">
        <v>1060</v>
      </c>
      <c r="D37" s="23">
        <v>170</v>
      </c>
      <c r="F37" s="5"/>
      <c r="G37" s="6"/>
      <c r="H37" s="7"/>
      <c r="I37" s="24"/>
    </row>
    <row r="38" spans="1:14" x14ac:dyDescent="0.25">
      <c r="A38" s="5">
        <v>43581</v>
      </c>
      <c r="B38" s="6"/>
      <c r="C38" s="10" t="s">
        <v>1061</v>
      </c>
      <c r="D38" s="23">
        <v>20</v>
      </c>
      <c r="F38" s="5"/>
      <c r="G38" s="6"/>
      <c r="H38" s="7"/>
      <c r="I38" s="24"/>
    </row>
    <row r="39" spans="1:14" x14ac:dyDescent="0.25">
      <c r="A39" s="5">
        <v>43581</v>
      </c>
      <c r="B39" s="6"/>
      <c r="C39" s="10" t="s">
        <v>1062</v>
      </c>
      <c r="D39" s="23">
        <v>50</v>
      </c>
      <c r="F39" s="5"/>
      <c r="G39" s="10"/>
      <c r="H39" s="10"/>
      <c r="I39" s="23"/>
    </row>
    <row r="40" spans="1:14" x14ac:dyDescent="0.25">
      <c r="A40" s="5">
        <v>43581</v>
      </c>
      <c r="B40" s="6"/>
      <c r="C40" s="10" t="s">
        <v>1063</v>
      </c>
      <c r="D40" s="23">
        <v>50</v>
      </c>
      <c r="F40" s="5"/>
      <c r="G40" s="10"/>
      <c r="H40" s="10"/>
      <c r="I40" s="23"/>
    </row>
    <row r="41" spans="1:14" x14ac:dyDescent="0.25">
      <c r="A41" s="5">
        <v>43581</v>
      </c>
      <c r="B41" s="6"/>
      <c r="C41" s="10" t="s">
        <v>1064</v>
      </c>
      <c r="D41" s="23">
        <v>25</v>
      </c>
      <c r="F41" s="5"/>
      <c r="G41" s="6"/>
      <c r="H41" s="7"/>
      <c r="I41" s="24"/>
    </row>
    <row r="42" spans="1:14" x14ac:dyDescent="0.25">
      <c r="A42" s="5">
        <v>43584</v>
      </c>
      <c r="B42" s="95">
        <v>5413</v>
      </c>
      <c r="C42" s="7" t="s">
        <v>705</v>
      </c>
      <c r="D42" s="23">
        <v>274.5</v>
      </c>
      <c r="F42" s="5"/>
      <c r="G42" s="10"/>
      <c r="H42" s="10"/>
      <c r="I42" s="23"/>
    </row>
    <row r="43" spans="1:14" x14ac:dyDescent="0.25">
      <c r="A43" s="5">
        <v>43585</v>
      </c>
      <c r="B43" s="95">
        <v>5505</v>
      </c>
      <c r="C43" s="7" t="s">
        <v>705</v>
      </c>
      <c r="D43" s="23">
        <v>58.73</v>
      </c>
      <c r="F43" s="10"/>
      <c r="G43" s="10"/>
      <c r="H43" s="10"/>
      <c r="I43" s="10"/>
    </row>
    <row r="44" spans="1:14" x14ac:dyDescent="0.25">
      <c r="A44" s="5">
        <v>43585</v>
      </c>
      <c r="B44" s="95">
        <v>5548</v>
      </c>
      <c r="C44" s="7" t="s">
        <v>705</v>
      </c>
      <c r="D44" s="23">
        <v>17.93</v>
      </c>
      <c r="F44" s="10"/>
      <c r="G44" s="10"/>
      <c r="H44" s="10"/>
      <c r="I44" s="10"/>
    </row>
    <row r="45" spans="1:14" x14ac:dyDescent="0.25">
      <c r="A45" s="5">
        <v>43585</v>
      </c>
      <c r="B45" s="95">
        <v>5556</v>
      </c>
      <c r="C45" s="7" t="s">
        <v>705</v>
      </c>
      <c r="D45" s="23">
        <v>459.89</v>
      </c>
      <c r="F45" s="10"/>
      <c r="G45" s="10"/>
      <c r="H45" s="10"/>
      <c r="I45" s="10"/>
    </row>
    <row r="46" spans="1:14" x14ac:dyDescent="0.25">
      <c r="A46" s="5">
        <v>43588</v>
      </c>
      <c r="B46" s="95">
        <v>5676</v>
      </c>
      <c r="C46" s="7" t="s">
        <v>705</v>
      </c>
      <c r="D46" s="23">
        <v>4.68</v>
      </c>
      <c r="F46" s="10"/>
      <c r="G46" s="10"/>
      <c r="H46" s="10"/>
      <c r="I46" s="10"/>
    </row>
    <row r="47" spans="1:14" x14ac:dyDescent="0.25">
      <c r="A47" s="5">
        <v>43593</v>
      </c>
      <c r="B47" s="95">
        <v>5983</v>
      </c>
      <c r="C47" s="7" t="s">
        <v>705</v>
      </c>
      <c r="D47" s="23">
        <v>78.019999999999982</v>
      </c>
      <c r="F47" s="10"/>
      <c r="G47" s="10"/>
      <c r="H47" s="10"/>
      <c r="I47" s="10"/>
    </row>
    <row r="48" spans="1:14" x14ac:dyDescent="0.25">
      <c r="A48" s="5">
        <v>43594</v>
      </c>
      <c r="B48" s="95">
        <v>6005</v>
      </c>
      <c r="C48" s="7" t="s">
        <v>705</v>
      </c>
      <c r="D48" s="23">
        <v>20</v>
      </c>
    </row>
    <row r="49" spans="1:4" x14ac:dyDescent="0.25">
      <c r="A49" s="5">
        <v>43594</v>
      </c>
      <c r="B49" s="95">
        <v>6033</v>
      </c>
      <c r="C49" s="7" t="s">
        <v>705</v>
      </c>
      <c r="D49" s="23">
        <v>42.92</v>
      </c>
    </row>
    <row r="50" spans="1:4" x14ac:dyDescent="0.25">
      <c r="A50" s="5">
        <v>43594</v>
      </c>
      <c r="B50" s="95">
        <v>6034</v>
      </c>
      <c r="C50" s="7" t="s">
        <v>705</v>
      </c>
      <c r="D50" s="23">
        <v>30.66</v>
      </c>
    </row>
    <row r="51" spans="1:4" x14ac:dyDescent="0.25">
      <c r="A51" s="5">
        <v>43595</v>
      </c>
      <c r="B51" s="95">
        <v>4650</v>
      </c>
      <c r="C51" s="76" t="s">
        <v>342</v>
      </c>
      <c r="D51" s="79">
        <v>440</v>
      </c>
    </row>
    <row r="52" spans="1:4" x14ac:dyDescent="0.25">
      <c r="A52" s="5">
        <v>43598</v>
      </c>
      <c r="B52" s="95">
        <v>6237</v>
      </c>
      <c r="C52" s="7" t="s">
        <v>705</v>
      </c>
      <c r="D52" s="23">
        <v>76</v>
      </c>
    </row>
    <row r="53" spans="1:4" x14ac:dyDescent="0.25">
      <c r="A53" s="5">
        <v>43599</v>
      </c>
      <c r="B53" s="95">
        <v>6332</v>
      </c>
      <c r="C53" s="7" t="s">
        <v>705</v>
      </c>
      <c r="D53" s="23">
        <v>125.26</v>
      </c>
    </row>
    <row r="54" spans="1:4" x14ac:dyDescent="0.25">
      <c r="A54" s="5">
        <v>43601</v>
      </c>
      <c r="B54" s="6"/>
      <c r="C54" s="7" t="s">
        <v>1065</v>
      </c>
      <c r="D54" s="24">
        <v>18.16</v>
      </c>
    </row>
    <row r="55" spans="1:4" x14ac:dyDescent="0.25">
      <c r="A55" s="5">
        <v>43605</v>
      </c>
      <c r="B55" s="95">
        <v>6475</v>
      </c>
      <c r="C55" s="7" t="s">
        <v>705</v>
      </c>
      <c r="D55" s="23">
        <v>33.61</v>
      </c>
    </row>
    <row r="56" spans="1:4" x14ac:dyDescent="0.25">
      <c r="A56" s="5">
        <v>43605</v>
      </c>
      <c r="B56" s="95">
        <v>6484</v>
      </c>
      <c r="C56" s="7" t="s">
        <v>705</v>
      </c>
      <c r="D56" s="23">
        <v>173.58</v>
      </c>
    </row>
    <row r="57" spans="1:4" x14ac:dyDescent="0.25">
      <c r="A57" s="94">
        <v>2105</v>
      </c>
      <c r="B57" s="15" t="s">
        <v>1066</v>
      </c>
      <c r="C57" s="76" t="s">
        <v>1067</v>
      </c>
      <c r="D57" s="23">
        <v>47.9</v>
      </c>
    </row>
    <row r="58" spans="1:4" x14ac:dyDescent="0.25">
      <c r="A58" s="5">
        <v>43606</v>
      </c>
      <c r="B58" s="95">
        <v>6546</v>
      </c>
      <c r="C58" s="7" t="s">
        <v>705</v>
      </c>
      <c r="D58" s="23">
        <v>79.319999999999979</v>
      </c>
    </row>
    <row r="59" spans="1:4" x14ac:dyDescent="0.25">
      <c r="A59" s="5">
        <v>43608</v>
      </c>
      <c r="B59" s="95">
        <v>5269</v>
      </c>
      <c r="C59" s="76" t="s">
        <v>356</v>
      </c>
      <c r="D59" s="79">
        <v>233.7</v>
      </c>
    </row>
    <row r="60" spans="1:4" x14ac:dyDescent="0.25">
      <c r="A60" s="5">
        <v>43612</v>
      </c>
      <c r="B60" s="71"/>
      <c r="C60" s="10" t="s">
        <v>1068</v>
      </c>
      <c r="D60" s="23">
        <v>17</v>
      </c>
    </row>
    <row r="61" spans="1:4" x14ac:dyDescent="0.25">
      <c r="A61" s="5">
        <v>43612</v>
      </c>
      <c r="B61" s="95">
        <v>6859</v>
      </c>
      <c r="C61" s="7" t="s">
        <v>705</v>
      </c>
      <c r="D61" s="23">
        <v>142.12</v>
      </c>
    </row>
    <row r="62" spans="1:4" x14ac:dyDescent="0.25">
      <c r="A62" s="5">
        <v>43612</v>
      </c>
      <c r="B62" s="95">
        <v>6862</v>
      </c>
      <c r="C62" s="7" t="s">
        <v>705</v>
      </c>
      <c r="D62" s="23">
        <v>296.5</v>
      </c>
    </row>
    <row r="63" spans="1:4" x14ac:dyDescent="0.25">
      <c r="A63" s="5">
        <v>43613</v>
      </c>
      <c r="B63" s="95">
        <v>6916</v>
      </c>
      <c r="C63" s="7" t="s">
        <v>705</v>
      </c>
      <c r="D63" s="23">
        <v>34.93</v>
      </c>
    </row>
    <row r="64" spans="1:4" x14ac:dyDescent="0.25">
      <c r="A64" s="5">
        <v>43616</v>
      </c>
      <c r="B64" s="95">
        <v>7116</v>
      </c>
      <c r="C64" s="7" t="s">
        <v>705</v>
      </c>
      <c r="D64" s="23">
        <v>96.68</v>
      </c>
    </row>
    <row r="65" spans="1:4" x14ac:dyDescent="0.25">
      <c r="A65" s="5">
        <v>43620</v>
      </c>
      <c r="B65" s="95">
        <v>7252</v>
      </c>
      <c r="C65" s="7" t="s">
        <v>705</v>
      </c>
      <c r="D65" s="23">
        <v>184.36</v>
      </c>
    </row>
    <row r="66" spans="1:4" x14ac:dyDescent="0.25">
      <c r="A66" s="5">
        <v>43626</v>
      </c>
      <c r="B66" s="95">
        <v>7538</v>
      </c>
      <c r="C66" s="7" t="s">
        <v>705</v>
      </c>
      <c r="D66" s="23">
        <v>1.4</v>
      </c>
    </row>
    <row r="67" spans="1:4" x14ac:dyDescent="0.25">
      <c r="A67" s="5">
        <v>43627</v>
      </c>
      <c r="B67" s="95">
        <v>7617</v>
      </c>
      <c r="C67" s="7" t="s">
        <v>705</v>
      </c>
      <c r="D67" s="23">
        <v>51.77</v>
      </c>
    </row>
    <row r="68" spans="1:4" x14ac:dyDescent="0.25">
      <c r="A68" s="5">
        <v>43627</v>
      </c>
      <c r="B68" s="95">
        <v>7629</v>
      </c>
      <c r="C68" s="7" t="s">
        <v>705</v>
      </c>
      <c r="D68" s="23">
        <v>578.20000000000005</v>
      </c>
    </row>
    <row r="69" spans="1:4" x14ac:dyDescent="0.25">
      <c r="A69" s="5">
        <v>43627</v>
      </c>
      <c r="B69" s="95">
        <v>7659</v>
      </c>
      <c r="C69" s="7" t="s">
        <v>705</v>
      </c>
      <c r="D69" s="23">
        <v>43.46</v>
      </c>
    </row>
    <row r="70" spans="1:4" x14ac:dyDescent="0.25">
      <c r="A70" s="5">
        <v>43627</v>
      </c>
      <c r="B70" s="95">
        <v>6195</v>
      </c>
      <c r="C70" s="76" t="s">
        <v>404</v>
      </c>
      <c r="D70" s="79">
        <v>263.2</v>
      </c>
    </row>
    <row r="71" spans="1:4" x14ac:dyDescent="0.25">
      <c r="A71" s="5">
        <v>43628</v>
      </c>
      <c r="B71" s="95">
        <v>7688</v>
      </c>
      <c r="C71" s="7" t="s">
        <v>705</v>
      </c>
      <c r="D71" s="23">
        <v>217.61</v>
      </c>
    </row>
    <row r="72" spans="1:4" x14ac:dyDescent="0.25">
      <c r="A72" s="5">
        <v>43628</v>
      </c>
      <c r="B72" s="95">
        <v>6304</v>
      </c>
      <c r="C72" s="76" t="s">
        <v>407</v>
      </c>
      <c r="D72" s="79">
        <v>109.21</v>
      </c>
    </row>
    <row r="73" spans="1:4" x14ac:dyDescent="0.25">
      <c r="A73" s="5">
        <v>43633</v>
      </c>
      <c r="B73" s="71"/>
      <c r="C73" s="7" t="s">
        <v>1069</v>
      </c>
      <c r="D73" s="23">
        <f>18.83+41.85+18.16</f>
        <v>78.84</v>
      </c>
    </row>
    <row r="74" spans="1:4" x14ac:dyDescent="0.25">
      <c r="A74" s="5">
        <v>43647</v>
      </c>
      <c r="B74" s="95">
        <v>7970</v>
      </c>
      <c r="C74" s="7" t="s">
        <v>705</v>
      </c>
      <c r="D74" s="23">
        <v>50</v>
      </c>
    </row>
    <row r="75" spans="1:4" x14ac:dyDescent="0.25">
      <c r="A75" s="5">
        <v>43647</v>
      </c>
      <c r="B75" s="95">
        <v>8322</v>
      </c>
      <c r="C75" s="7" t="s">
        <v>705</v>
      </c>
      <c r="D75" s="23">
        <v>135.08000000000001</v>
      </c>
    </row>
    <row r="76" spans="1:4" x14ac:dyDescent="0.25">
      <c r="A76" s="5">
        <v>43647</v>
      </c>
      <c r="B76" s="95">
        <v>8345</v>
      </c>
      <c r="C76" s="7" t="s">
        <v>705</v>
      </c>
      <c r="D76" s="23">
        <v>30.41</v>
      </c>
    </row>
    <row r="77" spans="1:4" x14ac:dyDescent="0.25">
      <c r="A77" s="5">
        <v>43648</v>
      </c>
      <c r="B77" s="95">
        <v>8468</v>
      </c>
      <c r="C77" s="7" t="s">
        <v>705</v>
      </c>
      <c r="D77" s="23">
        <v>38</v>
      </c>
    </row>
    <row r="78" spans="1:4" x14ac:dyDescent="0.25">
      <c r="A78" s="5">
        <v>43651</v>
      </c>
      <c r="B78" s="95">
        <v>8710</v>
      </c>
      <c r="C78" s="7" t="s">
        <v>705</v>
      </c>
      <c r="D78" s="23">
        <v>41.74</v>
      </c>
    </row>
    <row r="79" spans="1:4" x14ac:dyDescent="0.25">
      <c r="A79" s="5">
        <v>43657</v>
      </c>
      <c r="B79" s="95">
        <v>8945</v>
      </c>
      <c r="C79" s="7" t="s">
        <v>705</v>
      </c>
      <c r="D79" s="23">
        <v>38</v>
      </c>
    </row>
    <row r="80" spans="1:4" x14ac:dyDescent="0.25">
      <c r="A80" s="68">
        <v>1507</v>
      </c>
      <c r="B80" s="95">
        <v>7956</v>
      </c>
      <c r="C80" s="10" t="s">
        <v>446</v>
      </c>
      <c r="D80" s="23">
        <v>-1372.67</v>
      </c>
    </row>
    <row r="81" spans="1:4" x14ac:dyDescent="0.25">
      <c r="A81" s="5">
        <v>43662</v>
      </c>
      <c r="B81" s="95">
        <v>9119</v>
      </c>
      <c r="C81" s="7" t="s">
        <v>705</v>
      </c>
      <c r="D81" s="23">
        <v>45.8</v>
      </c>
    </row>
    <row r="82" spans="1:4" x14ac:dyDescent="0.25">
      <c r="A82" s="5">
        <v>43662</v>
      </c>
      <c r="B82" s="95">
        <v>9121</v>
      </c>
      <c r="C82" s="7" t="s">
        <v>705</v>
      </c>
      <c r="D82" s="23">
        <v>434.21</v>
      </c>
    </row>
    <row r="83" spans="1:4" x14ac:dyDescent="0.25">
      <c r="A83" s="5">
        <v>43662</v>
      </c>
      <c r="B83" s="95">
        <v>9141</v>
      </c>
      <c r="C83" s="7" t="s">
        <v>705</v>
      </c>
      <c r="D83" s="23">
        <v>38</v>
      </c>
    </row>
    <row r="84" spans="1:4" x14ac:dyDescent="0.25">
      <c r="A84" s="5">
        <v>43665</v>
      </c>
      <c r="B84" s="95">
        <v>9284</v>
      </c>
      <c r="C84" s="7" t="s">
        <v>705</v>
      </c>
      <c r="D84" s="23">
        <v>20.51</v>
      </c>
    </row>
    <row r="85" spans="1:4" x14ac:dyDescent="0.25">
      <c r="A85" s="5">
        <v>43669</v>
      </c>
      <c r="B85" s="95">
        <v>9426</v>
      </c>
      <c r="C85" s="7" t="s">
        <v>705</v>
      </c>
      <c r="D85" s="23">
        <v>23.5</v>
      </c>
    </row>
    <row r="86" spans="1:4" x14ac:dyDescent="0.25">
      <c r="A86" s="5">
        <v>43671</v>
      </c>
      <c r="B86" s="95">
        <v>9480</v>
      </c>
      <c r="C86" s="7" t="s">
        <v>705</v>
      </c>
      <c r="D86" s="23">
        <v>10.06</v>
      </c>
    </row>
    <row r="87" spans="1:4" x14ac:dyDescent="0.25">
      <c r="A87" s="5">
        <v>43671</v>
      </c>
      <c r="B87" s="95">
        <v>8469</v>
      </c>
      <c r="C87" s="10" t="s">
        <v>454</v>
      </c>
      <c r="D87" s="23">
        <v>1572</v>
      </c>
    </row>
    <row r="88" spans="1:4" x14ac:dyDescent="0.25">
      <c r="A88" s="5">
        <v>43678</v>
      </c>
      <c r="B88" s="95">
        <v>9750</v>
      </c>
      <c r="C88" s="7" t="s">
        <v>705</v>
      </c>
      <c r="D88" s="23">
        <v>101.91</v>
      </c>
    </row>
    <row r="89" spans="1:4" x14ac:dyDescent="0.25">
      <c r="A89" s="5">
        <v>43689</v>
      </c>
      <c r="B89" s="95">
        <v>10214</v>
      </c>
      <c r="C89" s="7" t="s">
        <v>705</v>
      </c>
      <c r="D89" s="23">
        <v>91.88</v>
      </c>
    </row>
    <row r="90" spans="1:4" x14ac:dyDescent="0.25">
      <c r="A90" s="5">
        <v>43689</v>
      </c>
      <c r="B90" s="95">
        <v>10227</v>
      </c>
      <c r="C90" s="7" t="s">
        <v>705</v>
      </c>
      <c r="D90" s="23">
        <v>50.6</v>
      </c>
    </row>
    <row r="91" spans="1:4" x14ac:dyDescent="0.25">
      <c r="A91" s="68">
        <v>1408</v>
      </c>
      <c r="B91" s="71"/>
      <c r="C91" s="10" t="s">
        <v>1070</v>
      </c>
      <c r="D91" s="23">
        <f>20+20</f>
        <v>40</v>
      </c>
    </row>
    <row r="92" spans="1:4" x14ac:dyDescent="0.25">
      <c r="A92" s="68">
        <v>1408</v>
      </c>
      <c r="B92" s="71"/>
      <c r="C92" s="10" t="s">
        <v>1071</v>
      </c>
      <c r="D92" s="23">
        <v>25</v>
      </c>
    </row>
    <row r="93" spans="1:4" x14ac:dyDescent="0.25">
      <c r="A93" s="68">
        <v>1408</v>
      </c>
      <c r="B93" s="71"/>
      <c r="C93" s="10" t="s">
        <v>1072</v>
      </c>
      <c r="D93" s="23">
        <v>20</v>
      </c>
    </row>
    <row r="94" spans="1:4" x14ac:dyDescent="0.25">
      <c r="A94" s="5">
        <v>43691</v>
      </c>
      <c r="B94" s="95">
        <v>10316</v>
      </c>
      <c r="C94" s="7" t="s">
        <v>705</v>
      </c>
      <c r="D94" s="23">
        <v>23.13</v>
      </c>
    </row>
    <row r="95" spans="1:4" x14ac:dyDescent="0.25">
      <c r="A95" s="5">
        <v>43693</v>
      </c>
      <c r="B95" s="95">
        <v>10482</v>
      </c>
      <c r="C95" s="7" t="s">
        <v>705</v>
      </c>
      <c r="D95" s="23">
        <v>94.48</v>
      </c>
    </row>
    <row r="96" spans="1:4" x14ac:dyDescent="0.25">
      <c r="A96" s="5">
        <v>43697</v>
      </c>
      <c r="B96" s="95">
        <v>10689</v>
      </c>
      <c r="C96" s="7" t="s">
        <v>705</v>
      </c>
      <c r="D96" s="23">
        <v>57.35</v>
      </c>
    </row>
    <row r="97" spans="1:4" x14ac:dyDescent="0.25">
      <c r="A97" s="5">
        <v>43704</v>
      </c>
      <c r="B97" s="95">
        <v>10993</v>
      </c>
      <c r="C97" s="7" t="s">
        <v>705</v>
      </c>
      <c r="D97" s="23">
        <v>187.61</v>
      </c>
    </row>
    <row r="98" spans="1:4" x14ac:dyDescent="0.25">
      <c r="A98" s="5">
        <v>43704</v>
      </c>
      <c r="B98" s="95">
        <v>11036</v>
      </c>
      <c r="C98" s="7" t="s">
        <v>705</v>
      </c>
      <c r="D98" s="79">
        <v>47.29</v>
      </c>
    </row>
    <row r="99" spans="1:4" x14ac:dyDescent="0.25">
      <c r="A99" s="5">
        <v>43710</v>
      </c>
      <c r="B99" s="95">
        <v>10463</v>
      </c>
      <c r="C99" s="76" t="s">
        <v>479</v>
      </c>
      <c r="D99" s="79">
        <v>240</v>
      </c>
    </row>
    <row r="100" spans="1:4" x14ac:dyDescent="0.25">
      <c r="A100" s="5">
        <v>43710</v>
      </c>
      <c r="B100" s="95">
        <v>11317</v>
      </c>
      <c r="C100" s="7" t="s">
        <v>705</v>
      </c>
      <c r="D100" s="79">
        <v>394.5</v>
      </c>
    </row>
    <row r="101" spans="1:4" x14ac:dyDescent="0.25">
      <c r="A101" s="94">
        <v>309</v>
      </c>
      <c r="B101" s="95">
        <v>10680</v>
      </c>
      <c r="C101" s="76" t="s">
        <v>481</v>
      </c>
      <c r="D101" s="79">
        <v>318</v>
      </c>
    </row>
    <row r="102" spans="1:4" x14ac:dyDescent="0.25">
      <c r="A102" s="94">
        <v>309</v>
      </c>
      <c r="B102" s="95">
        <v>10682</v>
      </c>
      <c r="C102" s="76" t="s">
        <v>481</v>
      </c>
      <c r="D102" s="79">
        <v>124.95</v>
      </c>
    </row>
    <row r="103" spans="1:4" x14ac:dyDescent="0.25">
      <c r="A103" s="94">
        <v>309</v>
      </c>
      <c r="B103" s="95">
        <v>10684</v>
      </c>
      <c r="C103" s="76" t="s">
        <v>481</v>
      </c>
      <c r="D103" s="79">
        <v>668.17</v>
      </c>
    </row>
    <row r="104" spans="1:4" x14ac:dyDescent="0.25">
      <c r="A104" s="94">
        <v>309</v>
      </c>
      <c r="B104" s="95">
        <v>10685</v>
      </c>
      <c r="C104" s="76" t="s">
        <v>481</v>
      </c>
      <c r="D104" s="79">
        <v>24.96</v>
      </c>
    </row>
    <row r="105" spans="1:4" x14ac:dyDescent="0.25">
      <c r="A105" s="94">
        <v>309</v>
      </c>
      <c r="B105" s="95">
        <v>10687</v>
      </c>
      <c r="C105" s="76" t="s">
        <v>481</v>
      </c>
      <c r="D105" s="79">
        <v>650</v>
      </c>
    </row>
    <row r="106" spans="1:4" x14ac:dyDescent="0.25">
      <c r="A106" s="94">
        <v>309</v>
      </c>
      <c r="B106" s="95">
        <v>10690</v>
      </c>
      <c r="C106" s="76" t="s">
        <v>481</v>
      </c>
      <c r="D106" s="79">
        <v>314.27999999999997</v>
      </c>
    </row>
    <row r="107" spans="1:4" x14ac:dyDescent="0.25">
      <c r="A107" s="94">
        <v>309</v>
      </c>
      <c r="B107" s="95">
        <v>10691</v>
      </c>
      <c r="C107" s="76" t="s">
        <v>481</v>
      </c>
      <c r="D107" s="79">
        <v>842.41999999999985</v>
      </c>
    </row>
    <row r="108" spans="1:4" x14ac:dyDescent="0.25">
      <c r="A108" s="94">
        <v>509</v>
      </c>
      <c r="B108" s="71"/>
      <c r="C108" s="10" t="s">
        <v>692</v>
      </c>
      <c r="D108" s="23">
        <v>-56.28</v>
      </c>
    </row>
    <row r="109" spans="1:4" x14ac:dyDescent="0.25">
      <c r="A109" s="5">
        <v>43714</v>
      </c>
      <c r="B109" s="95">
        <v>11600</v>
      </c>
      <c r="C109" s="7" t="s">
        <v>705</v>
      </c>
      <c r="D109" s="23">
        <v>490.51</v>
      </c>
    </row>
    <row r="110" spans="1:4" x14ac:dyDescent="0.25">
      <c r="A110" s="5">
        <v>43724</v>
      </c>
      <c r="B110" s="95">
        <v>11534</v>
      </c>
      <c r="C110" s="76" t="s">
        <v>506</v>
      </c>
      <c r="D110" s="79">
        <v>400</v>
      </c>
    </row>
    <row r="111" spans="1:4" x14ac:dyDescent="0.25">
      <c r="A111" s="5">
        <v>43726</v>
      </c>
      <c r="B111" s="95"/>
      <c r="C111" s="7" t="s">
        <v>710</v>
      </c>
      <c r="D111" s="23">
        <v>3000</v>
      </c>
    </row>
    <row r="112" spans="1:4" x14ac:dyDescent="0.25">
      <c r="A112" s="94">
        <v>3009</v>
      </c>
      <c r="B112" s="95">
        <v>12604</v>
      </c>
      <c r="C112" s="76" t="s">
        <v>537</v>
      </c>
      <c r="D112" s="79">
        <v>738</v>
      </c>
    </row>
    <row r="113" spans="1:4" x14ac:dyDescent="0.25">
      <c r="A113" s="94">
        <v>3009</v>
      </c>
      <c r="B113" s="95">
        <v>12606</v>
      </c>
      <c r="C113" s="76" t="s">
        <v>538</v>
      </c>
      <c r="D113" s="79">
        <v>2050</v>
      </c>
    </row>
    <row r="114" spans="1:4" x14ac:dyDescent="0.25">
      <c r="A114" s="5">
        <v>43739</v>
      </c>
      <c r="B114" s="95">
        <v>12682</v>
      </c>
      <c r="C114" s="76" t="s">
        <v>544</v>
      </c>
      <c r="D114" s="79">
        <v>689.77</v>
      </c>
    </row>
    <row r="115" spans="1:4" x14ac:dyDescent="0.25">
      <c r="A115" s="5">
        <v>43752</v>
      </c>
      <c r="B115" s="10" t="s">
        <v>1073</v>
      </c>
      <c r="C115" s="76" t="s">
        <v>1074</v>
      </c>
      <c r="D115" s="80">
        <v>440</v>
      </c>
    </row>
    <row r="116" spans="1:4" x14ac:dyDescent="0.25">
      <c r="A116" s="5">
        <v>43753</v>
      </c>
      <c r="B116" s="95">
        <v>13714</v>
      </c>
      <c r="C116" s="76" t="s">
        <v>553</v>
      </c>
      <c r="D116" s="79">
        <v>94.99</v>
      </c>
    </row>
    <row r="117" spans="1:4" x14ac:dyDescent="0.25">
      <c r="A117" s="5">
        <v>43759</v>
      </c>
      <c r="B117" s="6"/>
      <c r="C117" s="7" t="s">
        <v>701</v>
      </c>
      <c r="D117" s="23">
        <v>4455.2299999999996</v>
      </c>
    </row>
    <row r="118" spans="1:4" x14ac:dyDescent="0.25">
      <c r="A118" s="5">
        <v>43763</v>
      </c>
      <c r="B118" s="95">
        <v>14422</v>
      </c>
      <c r="C118" s="76" t="s">
        <v>563</v>
      </c>
      <c r="D118" s="79">
        <v>65.8</v>
      </c>
    </row>
    <row r="119" spans="1:4" x14ac:dyDescent="0.25">
      <c r="A119" s="5">
        <v>43774</v>
      </c>
      <c r="B119" s="6"/>
      <c r="C119" s="7" t="s">
        <v>1586</v>
      </c>
      <c r="D119" s="206">
        <v>-65.8</v>
      </c>
    </row>
    <row r="129" spans="1:4" x14ac:dyDescent="0.25">
      <c r="A129" s="232" t="s">
        <v>718</v>
      </c>
      <c r="B129" s="232"/>
      <c r="C129" s="232"/>
      <c r="D129" s="148">
        <f>D111</f>
        <v>3000</v>
      </c>
    </row>
    <row r="130" spans="1:4" x14ac:dyDescent="0.25">
      <c r="A130" s="5">
        <v>43727</v>
      </c>
      <c r="B130" s="95">
        <v>12241</v>
      </c>
      <c r="C130" s="7" t="s">
        <v>705</v>
      </c>
      <c r="D130" s="23">
        <v>30</v>
      </c>
    </row>
    <row r="131" spans="1:4" x14ac:dyDescent="0.25">
      <c r="A131" s="5">
        <v>43731</v>
      </c>
      <c r="B131" s="95">
        <v>12344</v>
      </c>
      <c r="C131" s="7" t="s">
        <v>705</v>
      </c>
      <c r="D131" s="23">
        <v>22.25</v>
      </c>
    </row>
    <row r="132" spans="1:4" x14ac:dyDescent="0.25">
      <c r="A132" s="5">
        <v>43732</v>
      </c>
      <c r="B132" s="95">
        <v>12409</v>
      </c>
      <c r="C132" s="7" t="s">
        <v>705</v>
      </c>
      <c r="D132" s="23">
        <v>9.1700000000000017</v>
      </c>
    </row>
    <row r="133" spans="1:4" x14ac:dyDescent="0.25">
      <c r="A133" s="5">
        <v>43738</v>
      </c>
      <c r="B133" s="95">
        <v>12712</v>
      </c>
      <c r="C133" s="7" t="s">
        <v>705</v>
      </c>
      <c r="D133" s="23">
        <v>6.45</v>
      </c>
    </row>
    <row r="134" spans="1:4" x14ac:dyDescent="0.25">
      <c r="A134" s="5">
        <v>43746</v>
      </c>
      <c r="B134" s="95">
        <v>13062</v>
      </c>
      <c r="C134" s="7" t="s">
        <v>705</v>
      </c>
      <c r="D134" s="23">
        <v>265</v>
      </c>
    </row>
    <row r="135" spans="1:4" x14ac:dyDescent="0.25">
      <c r="A135" s="5">
        <v>43754</v>
      </c>
      <c r="B135" s="95">
        <v>13500</v>
      </c>
      <c r="C135" s="7" t="s">
        <v>705</v>
      </c>
      <c r="D135" s="23">
        <v>57.25</v>
      </c>
    </row>
    <row r="136" spans="1:4" x14ac:dyDescent="0.25">
      <c r="A136" s="5">
        <v>43769</v>
      </c>
      <c r="B136" s="95">
        <v>14155</v>
      </c>
      <c r="C136" s="7" t="s">
        <v>705</v>
      </c>
      <c r="D136" s="23">
        <v>3.59</v>
      </c>
    </row>
    <row r="137" spans="1:4" x14ac:dyDescent="0.25">
      <c r="A137" s="5">
        <v>43774</v>
      </c>
      <c r="B137" s="95">
        <v>14419</v>
      </c>
      <c r="C137" s="7" t="s">
        <v>705</v>
      </c>
      <c r="D137" s="23">
        <v>11.45</v>
      </c>
    </row>
    <row r="138" spans="1:4" x14ac:dyDescent="0.25">
      <c r="A138" s="5"/>
      <c r="B138" s="147"/>
      <c r="C138" s="10"/>
      <c r="D138" s="23"/>
    </row>
    <row r="139" spans="1:4" x14ac:dyDescent="0.25">
      <c r="A139" s="5"/>
      <c r="B139" s="152"/>
      <c r="C139" s="151"/>
      <c r="D139" s="23"/>
    </row>
    <row r="140" spans="1:4" x14ac:dyDescent="0.25">
      <c r="A140" s="232" t="s">
        <v>703</v>
      </c>
      <c r="B140" s="232"/>
      <c r="C140" s="232"/>
      <c r="D140" s="148">
        <f>D129-SUM(D130:D139)</f>
        <v>2594.84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129:C129"/>
    <mergeCell ref="A140:C140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opLeftCell="A3" workbookViewId="0">
      <selection activeCell="A5" sqref="A5:B5"/>
    </sheetView>
  </sheetViews>
  <sheetFormatPr defaultRowHeight="15" x14ac:dyDescent="0.25"/>
  <cols>
    <col min="1" max="1" width="11.5703125" customWidth="1"/>
    <col min="2" max="2" width="14.85546875" customWidth="1"/>
    <col min="3" max="3" width="57.85546875" customWidth="1"/>
    <col min="4" max="4" width="18.42578125" customWidth="1"/>
    <col min="5" max="5" width="5.7109375" customWidth="1"/>
    <col min="6" max="6" width="11.5703125" customWidth="1"/>
    <col min="7" max="7" width="15.140625" customWidth="1"/>
    <col min="8" max="8" width="46.85546875" customWidth="1"/>
    <col min="9" max="9" width="14.8554687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1075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Geral!D37</f>
        <v>29128.452166000003</v>
      </c>
      <c r="F6" s="211" t="s">
        <v>687</v>
      </c>
      <c r="G6" s="212"/>
      <c r="H6" s="14" t="s">
        <v>582</v>
      </c>
      <c r="I6" s="24">
        <f>Geral!E37</f>
        <v>9058.1862142857153</v>
      </c>
      <c r="K6" s="230" t="s">
        <v>688</v>
      </c>
      <c r="L6" s="230"/>
      <c r="M6" s="4" t="s">
        <v>582</v>
      </c>
      <c r="N6" s="24">
        <f>Geral!F37</f>
        <v>4500</v>
      </c>
    </row>
    <row r="7" spans="1:14" ht="15" customHeight="1" x14ac:dyDescent="0.25">
      <c r="A7" s="230"/>
      <c r="B7" s="230"/>
      <c r="C7" s="3" t="s">
        <v>583</v>
      </c>
      <c r="D7" s="24">
        <f>SUM(D10:D36)</f>
        <v>29128.450000000004</v>
      </c>
      <c r="F7" s="213"/>
      <c r="G7" s="214"/>
      <c r="H7" s="14" t="s">
        <v>583</v>
      </c>
      <c r="I7" s="24">
        <f>SUM(I10:I38)</f>
        <v>7361.0549999999994</v>
      </c>
      <c r="K7" s="230"/>
      <c r="L7" s="230"/>
      <c r="M7" s="4" t="s">
        <v>583</v>
      </c>
      <c r="N7" s="24">
        <f>SUM(N10:N26)</f>
        <v>4500</v>
      </c>
    </row>
    <row r="8" spans="1:14" ht="15" customHeight="1" x14ac:dyDescent="0.25">
      <c r="A8" s="230"/>
      <c r="B8" s="230"/>
      <c r="C8" s="3" t="s">
        <v>584</v>
      </c>
      <c r="D8" s="24">
        <f>D6-D7</f>
        <v>2.1659999983967282E-3</v>
      </c>
      <c r="F8" s="215"/>
      <c r="G8" s="216"/>
      <c r="H8" s="14" t="s">
        <v>584</v>
      </c>
      <c r="I8" s="24">
        <f>I6-I7</f>
        <v>1697.1312142857159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43517</v>
      </c>
      <c r="B10" s="6"/>
      <c r="C10" s="7" t="s">
        <v>1076</v>
      </c>
      <c r="D10" s="24">
        <v>600</v>
      </c>
      <c r="F10" s="5">
        <v>43566</v>
      </c>
      <c r="G10" s="6"/>
      <c r="H10" s="7" t="s">
        <v>1077</v>
      </c>
      <c r="I10" s="24">
        <f>124.55*0.7</f>
        <v>87.184999999999988</v>
      </c>
      <c r="K10" s="109">
        <v>3105</v>
      </c>
      <c r="L10" s="110">
        <v>5661</v>
      </c>
      <c r="M10" s="76" t="s">
        <v>364</v>
      </c>
      <c r="N10" s="79">
        <v>4500</v>
      </c>
    </row>
    <row r="11" spans="1:14" x14ac:dyDescent="0.25">
      <c r="A11" s="5">
        <v>43558</v>
      </c>
      <c r="B11" s="6" t="s">
        <v>1078</v>
      </c>
      <c r="C11" s="76" t="s">
        <v>270</v>
      </c>
      <c r="D11" s="79">
        <v>1276</v>
      </c>
      <c r="F11" s="5">
        <v>43566</v>
      </c>
      <c r="G11" s="6" t="s">
        <v>1079</v>
      </c>
      <c r="H11" s="7" t="s">
        <v>1080</v>
      </c>
      <c r="I11" s="24">
        <v>67.680000000000007</v>
      </c>
      <c r="K11" s="8"/>
      <c r="L11" s="6"/>
      <c r="M11" s="7"/>
      <c r="N11" s="24"/>
    </row>
    <row r="12" spans="1:14" x14ac:dyDescent="0.25">
      <c r="A12" s="5">
        <v>43558</v>
      </c>
      <c r="B12" s="6" t="s">
        <v>1081</v>
      </c>
      <c r="C12" s="76" t="s">
        <v>272</v>
      </c>
      <c r="D12" s="79">
        <v>1916.85</v>
      </c>
      <c r="F12" s="5">
        <v>43573</v>
      </c>
      <c r="G12" s="6" t="s">
        <v>1082</v>
      </c>
      <c r="H12" s="7" t="s">
        <v>1083</v>
      </c>
      <c r="I12" s="24">
        <v>1217.28</v>
      </c>
      <c r="K12" s="8"/>
      <c r="L12" s="6"/>
      <c r="M12" s="7"/>
      <c r="N12" s="24"/>
    </row>
    <row r="13" spans="1:14" x14ac:dyDescent="0.25">
      <c r="A13" s="5">
        <v>43566</v>
      </c>
      <c r="B13" s="6" t="s">
        <v>1084</v>
      </c>
      <c r="C13" s="76" t="s">
        <v>289</v>
      </c>
      <c r="D13" s="79">
        <v>242.92</v>
      </c>
      <c r="F13" s="5">
        <v>43573</v>
      </c>
      <c r="G13" s="6"/>
      <c r="H13" s="7" t="s">
        <v>1085</v>
      </c>
      <c r="I13" s="23">
        <f>124.55*2*0.7</f>
        <v>174.36999999999998</v>
      </c>
      <c r="K13" s="8"/>
      <c r="L13" s="6"/>
      <c r="M13" s="7"/>
      <c r="N13" s="24"/>
    </row>
    <row r="14" spans="1:14" x14ac:dyDescent="0.25">
      <c r="A14" s="5">
        <v>43567</v>
      </c>
      <c r="B14" s="6" t="s">
        <v>1086</v>
      </c>
      <c r="C14" s="76" t="s">
        <v>293</v>
      </c>
      <c r="D14" s="79">
        <v>1150</v>
      </c>
      <c r="F14" s="5">
        <v>43609</v>
      </c>
      <c r="G14" s="6"/>
      <c r="H14" s="7" t="s">
        <v>1087</v>
      </c>
      <c r="I14" s="24">
        <f>(124.55*2)*0.7</f>
        <v>174.36999999999998</v>
      </c>
      <c r="K14" s="8"/>
      <c r="L14" s="6"/>
      <c r="M14" s="7"/>
      <c r="N14" s="24"/>
    </row>
    <row r="15" spans="1:14" x14ac:dyDescent="0.25">
      <c r="A15" s="5">
        <v>43605</v>
      </c>
      <c r="B15" s="6"/>
      <c r="C15" s="7" t="s">
        <v>1088</v>
      </c>
      <c r="D15" s="24">
        <v>-64.11</v>
      </c>
      <c r="F15" s="5">
        <v>43609</v>
      </c>
      <c r="G15" s="6"/>
      <c r="H15" s="7" t="s">
        <v>1089</v>
      </c>
      <c r="I15" s="24">
        <f>(124.55*2)*0.7</f>
        <v>174.36999999999998</v>
      </c>
      <c r="K15" s="8"/>
      <c r="L15" s="6"/>
      <c r="M15" s="7"/>
      <c r="N15" s="24"/>
    </row>
    <row r="16" spans="1:14" x14ac:dyDescent="0.25">
      <c r="A16" s="5">
        <v>43609</v>
      </c>
      <c r="B16" s="6" t="s">
        <v>1090</v>
      </c>
      <c r="C16" s="76" t="s">
        <v>357</v>
      </c>
      <c r="D16" s="79">
        <v>400</v>
      </c>
      <c r="F16" s="5">
        <v>43622</v>
      </c>
      <c r="G16" s="6"/>
      <c r="H16" s="7" t="s">
        <v>1091</v>
      </c>
      <c r="I16" s="24">
        <f>220.7*0.7</f>
        <v>154.48999999999998</v>
      </c>
      <c r="K16" s="8"/>
      <c r="L16" s="6"/>
      <c r="M16" s="7"/>
      <c r="N16" s="24"/>
    </row>
    <row r="17" spans="1:14" x14ac:dyDescent="0.25">
      <c r="A17" s="5">
        <v>43609</v>
      </c>
      <c r="B17" s="6" t="s">
        <v>1092</v>
      </c>
      <c r="C17" s="76" t="s">
        <v>358</v>
      </c>
      <c r="D17" s="79">
        <v>400</v>
      </c>
      <c r="F17" s="5">
        <v>43627</v>
      </c>
      <c r="G17" s="6" t="s">
        <v>1093</v>
      </c>
      <c r="H17" s="7" t="s">
        <v>1094</v>
      </c>
      <c r="I17" s="24">
        <v>577.86</v>
      </c>
      <c r="K17" s="8"/>
      <c r="L17" s="6"/>
      <c r="M17" s="7"/>
      <c r="N17" s="24"/>
    </row>
    <row r="18" spans="1:14" x14ac:dyDescent="0.25">
      <c r="A18" s="94">
        <v>1507</v>
      </c>
      <c r="B18" s="123">
        <v>9081</v>
      </c>
      <c r="C18" s="7" t="s">
        <v>705</v>
      </c>
      <c r="D18" s="23">
        <v>636.25</v>
      </c>
      <c r="F18" s="5">
        <v>43627</v>
      </c>
      <c r="G18" s="6" t="s">
        <v>1095</v>
      </c>
      <c r="H18" s="7" t="s">
        <v>1096</v>
      </c>
      <c r="I18" s="24">
        <v>67.680000000000007</v>
      </c>
      <c r="K18" s="8"/>
      <c r="L18" s="6"/>
      <c r="M18" s="7"/>
      <c r="N18" s="24"/>
    </row>
    <row r="19" spans="1:14" x14ac:dyDescent="0.25">
      <c r="A19" s="94">
        <v>208</v>
      </c>
      <c r="B19" s="123">
        <v>9817</v>
      </c>
      <c r="C19" s="7" t="s">
        <v>705</v>
      </c>
      <c r="D19" s="24">
        <v>56</v>
      </c>
      <c r="F19" s="5">
        <v>43628</v>
      </c>
      <c r="G19" s="6" t="s">
        <v>1095</v>
      </c>
      <c r="H19" s="7" t="s">
        <v>1094</v>
      </c>
      <c r="I19" s="24">
        <v>67.680000000000007</v>
      </c>
      <c r="K19" s="8"/>
      <c r="L19" s="6"/>
      <c r="M19" s="7"/>
      <c r="N19" s="24"/>
    </row>
    <row r="20" spans="1:14" x14ac:dyDescent="0.25">
      <c r="A20" s="94">
        <v>208</v>
      </c>
      <c r="B20" s="123">
        <v>9818</v>
      </c>
      <c r="C20" s="7" t="s">
        <v>705</v>
      </c>
      <c r="D20" s="23">
        <v>90.19</v>
      </c>
      <c r="F20" s="5">
        <v>43634</v>
      </c>
      <c r="G20" s="6" t="s">
        <v>1097</v>
      </c>
      <c r="H20" s="7" t="s">
        <v>1098</v>
      </c>
      <c r="I20" s="24">
        <v>713.22</v>
      </c>
      <c r="K20" s="8"/>
      <c r="L20" s="6"/>
      <c r="M20" s="7"/>
      <c r="N20" s="24"/>
    </row>
    <row r="21" spans="1:14" x14ac:dyDescent="0.25">
      <c r="A21" s="68">
        <v>1408</v>
      </c>
      <c r="B21" s="71"/>
      <c r="C21" s="10" t="s">
        <v>1099</v>
      </c>
      <c r="D21" s="23">
        <v>100</v>
      </c>
      <c r="F21" s="5">
        <v>43634</v>
      </c>
      <c r="G21" s="6" t="s">
        <v>1100</v>
      </c>
      <c r="H21" s="7" t="s">
        <v>1094</v>
      </c>
      <c r="I21" s="24">
        <v>713.22</v>
      </c>
      <c r="K21" s="8"/>
      <c r="L21" s="6"/>
      <c r="M21" s="7"/>
      <c r="N21" s="24"/>
    </row>
    <row r="22" spans="1:14" x14ac:dyDescent="0.25">
      <c r="A22" s="68">
        <v>1408</v>
      </c>
      <c r="B22" s="71"/>
      <c r="C22" s="10" t="s">
        <v>1101</v>
      </c>
      <c r="D22" s="23">
        <v>5</v>
      </c>
      <c r="F22" s="5">
        <v>43679</v>
      </c>
      <c r="G22" s="6" t="s">
        <v>1102</v>
      </c>
      <c r="H22" s="7" t="s">
        <v>1096</v>
      </c>
      <c r="I22" s="24">
        <v>297.77999999999997</v>
      </c>
      <c r="K22" s="8"/>
      <c r="L22" s="6"/>
      <c r="M22" s="7"/>
      <c r="N22" s="24"/>
    </row>
    <row r="23" spans="1:14" x14ac:dyDescent="0.25">
      <c r="A23" s="68">
        <v>1408</v>
      </c>
      <c r="B23" s="71"/>
      <c r="C23" s="10" t="s">
        <v>1103</v>
      </c>
      <c r="D23" s="23">
        <v>25</v>
      </c>
      <c r="F23" s="5">
        <v>43683</v>
      </c>
      <c r="G23" s="6" t="s">
        <v>1104</v>
      </c>
      <c r="H23" s="7" t="s">
        <v>1105</v>
      </c>
      <c r="I23" s="24">
        <v>1245.5</v>
      </c>
      <c r="K23" s="8"/>
      <c r="L23" s="6"/>
      <c r="M23" s="7"/>
      <c r="N23" s="24"/>
    </row>
    <row r="24" spans="1:14" x14ac:dyDescent="0.25">
      <c r="A24" s="68">
        <v>1408</v>
      </c>
      <c r="B24" s="71"/>
      <c r="C24" s="10" t="s">
        <v>1106</v>
      </c>
      <c r="D24" s="23">
        <v>25</v>
      </c>
      <c r="F24" s="5">
        <v>43691</v>
      </c>
      <c r="G24" s="6" t="s">
        <v>1107</v>
      </c>
      <c r="H24" s="7" t="s">
        <v>1108</v>
      </c>
      <c r="I24" s="24">
        <v>854.91999999999985</v>
      </c>
      <c r="K24" s="8"/>
      <c r="L24" s="6"/>
      <c r="M24" s="7"/>
      <c r="N24" s="24"/>
    </row>
    <row r="25" spans="1:14" x14ac:dyDescent="0.25">
      <c r="A25" s="68">
        <v>1408</v>
      </c>
      <c r="B25" s="71"/>
      <c r="C25" s="10" t="s">
        <v>1109</v>
      </c>
      <c r="D25" s="23">
        <v>15</v>
      </c>
      <c r="F25" s="5">
        <v>43707</v>
      </c>
      <c r="G25" s="6"/>
      <c r="H25" s="7" t="s">
        <v>1091</v>
      </c>
      <c r="I25" s="24">
        <f>169.45*2*0.7</f>
        <v>237.22999999999996</v>
      </c>
      <c r="K25" s="8"/>
      <c r="L25" s="6"/>
      <c r="M25" s="7"/>
      <c r="N25" s="24"/>
    </row>
    <row r="26" spans="1:14" x14ac:dyDescent="0.25">
      <c r="A26" s="5">
        <v>43698</v>
      </c>
      <c r="B26" s="6"/>
      <c r="C26" s="7" t="s">
        <v>1110</v>
      </c>
      <c r="D26" s="24">
        <v>500</v>
      </c>
      <c r="F26" s="5">
        <v>43707</v>
      </c>
      <c r="G26" s="6" t="s">
        <v>1111</v>
      </c>
      <c r="H26" s="7" t="s">
        <v>1112</v>
      </c>
      <c r="I26" s="24">
        <v>-177</v>
      </c>
      <c r="K26" s="8"/>
      <c r="L26" s="6"/>
      <c r="M26" s="7"/>
      <c r="N26" s="24"/>
    </row>
    <row r="27" spans="1:14" x14ac:dyDescent="0.25">
      <c r="A27" s="5">
        <v>43699</v>
      </c>
      <c r="B27" s="6"/>
      <c r="C27" s="7" t="s">
        <v>1113</v>
      </c>
      <c r="D27" s="24">
        <v>450</v>
      </c>
      <c r="F27" s="5">
        <v>43727</v>
      </c>
      <c r="G27" s="6" t="s">
        <v>1114</v>
      </c>
      <c r="H27" s="7" t="s">
        <v>1098</v>
      </c>
      <c r="I27" s="24">
        <v>67.680000000000007</v>
      </c>
      <c r="K27" s="35"/>
      <c r="L27" s="32"/>
      <c r="M27" s="33"/>
      <c r="N27" s="41"/>
    </row>
    <row r="28" spans="1:14" x14ac:dyDescent="0.25">
      <c r="A28" s="5">
        <v>43713</v>
      </c>
      <c r="B28" s="123">
        <v>10833</v>
      </c>
      <c r="C28" s="76" t="s">
        <v>484</v>
      </c>
      <c r="D28" s="79">
        <v>5049.99</v>
      </c>
      <c r="F28" s="5">
        <v>43742</v>
      </c>
      <c r="G28" s="6" t="s">
        <v>1115</v>
      </c>
      <c r="H28" s="7" t="s">
        <v>1080</v>
      </c>
      <c r="I28" s="24">
        <v>223.86</v>
      </c>
      <c r="K28" s="35"/>
      <c r="L28" s="32"/>
      <c r="M28" s="33"/>
      <c r="N28" s="41"/>
    </row>
    <row r="29" spans="1:14" x14ac:dyDescent="0.25">
      <c r="A29" s="5">
        <v>43714</v>
      </c>
      <c r="B29" s="6"/>
      <c r="C29" s="7" t="s">
        <v>1116</v>
      </c>
      <c r="D29" s="24">
        <v>1872.7</v>
      </c>
      <c r="F29" s="5">
        <v>43768</v>
      </c>
      <c r="G29" s="6" t="s">
        <v>1117</v>
      </c>
      <c r="H29" s="7" t="s">
        <v>1118</v>
      </c>
      <c r="I29" s="24">
        <v>421.68</v>
      </c>
      <c r="K29" s="35"/>
      <c r="L29" s="32"/>
      <c r="M29" s="33"/>
      <c r="N29" s="41"/>
    </row>
    <row r="30" spans="1:14" x14ac:dyDescent="0.25">
      <c r="A30" s="94">
        <v>1009</v>
      </c>
      <c r="B30" s="123">
        <v>11774</v>
      </c>
      <c r="C30" s="7" t="s">
        <v>705</v>
      </c>
      <c r="D30" s="23">
        <v>79.67</v>
      </c>
      <c r="F30" s="5"/>
      <c r="G30" s="6"/>
      <c r="H30" s="7"/>
      <c r="I30" s="24"/>
      <c r="K30" s="35"/>
      <c r="L30" s="32"/>
      <c r="M30" s="33"/>
      <c r="N30" s="41"/>
    </row>
    <row r="31" spans="1:14" x14ac:dyDescent="0.25">
      <c r="A31" s="94">
        <v>1809</v>
      </c>
      <c r="B31" s="123">
        <v>12212</v>
      </c>
      <c r="C31" s="7" t="s">
        <v>705</v>
      </c>
      <c r="D31" s="79">
        <v>1144.3699999999999</v>
      </c>
      <c r="F31" s="5"/>
      <c r="G31" s="6"/>
      <c r="H31" s="7"/>
      <c r="I31" s="24"/>
      <c r="K31" s="35"/>
      <c r="L31" s="32"/>
      <c r="M31" s="33"/>
      <c r="N31" s="41"/>
    </row>
    <row r="32" spans="1:14" x14ac:dyDescent="0.25">
      <c r="A32" s="5">
        <v>43726</v>
      </c>
      <c r="B32" s="95"/>
      <c r="C32" s="7" t="s">
        <v>710</v>
      </c>
      <c r="D32" s="23">
        <v>1200</v>
      </c>
      <c r="F32" s="5"/>
      <c r="G32" s="6"/>
      <c r="H32" s="7"/>
      <c r="I32" s="24"/>
      <c r="K32" s="35"/>
      <c r="L32" s="32"/>
      <c r="M32" s="33"/>
      <c r="N32" s="41"/>
    </row>
    <row r="33" spans="1:14" x14ac:dyDescent="0.25">
      <c r="A33" s="5">
        <v>43759</v>
      </c>
      <c r="B33" s="6"/>
      <c r="C33" s="7" t="s">
        <v>701</v>
      </c>
      <c r="D33" s="23">
        <v>11957.62</v>
      </c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68"/>
      <c r="B34" s="71"/>
      <c r="C34" s="10"/>
      <c r="D34" s="23"/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68"/>
      <c r="B35" s="71"/>
      <c r="C35" s="10"/>
      <c r="D35" s="23"/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68"/>
      <c r="B36" s="71"/>
      <c r="C36" s="10"/>
      <c r="D36" s="23"/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D37" s="1"/>
      <c r="F37" s="31"/>
      <c r="G37" s="32"/>
      <c r="H37" s="33"/>
      <c r="I37" s="41"/>
    </row>
    <row r="38" spans="1:14" x14ac:dyDescent="0.25">
      <c r="B38" s="44"/>
      <c r="C38" s="45" t="s">
        <v>834</v>
      </c>
      <c r="D38" s="23">
        <v>13024.1</v>
      </c>
    </row>
    <row r="39" spans="1:14" x14ac:dyDescent="0.25">
      <c r="B39" s="94">
        <v>2501</v>
      </c>
      <c r="C39" s="10" t="s">
        <v>1119</v>
      </c>
      <c r="D39" s="23">
        <f>-(1507.08+88.56)</f>
        <v>-1595.6399999999999</v>
      </c>
    </row>
    <row r="40" spans="1:14" x14ac:dyDescent="0.25">
      <c r="B40" s="5">
        <v>43515</v>
      </c>
      <c r="C40" s="10" t="s">
        <v>1120</v>
      </c>
      <c r="D40" s="23">
        <v>-187.09</v>
      </c>
    </row>
    <row r="41" spans="1:14" x14ac:dyDescent="0.25">
      <c r="B41" s="5">
        <v>43591</v>
      </c>
      <c r="C41" s="10" t="s">
        <v>1121</v>
      </c>
      <c r="D41" s="23">
        <f>-(170.52+221.27)</f>
        <v>-391.79</v>
      </c>
    </row>
    <row r="42" spans="1:14" x14ac:dyDescent="0.25">
      <c r="B42" s="5">
        <v>43619</v>
      </c>
      <c r="C42" s="10" t="s">
        <v>1122</v>
      </c>
      <c r="D42" s="23">
        <f>-(40.42+64.81+213.02+190.27+63.29)</f>
        <v>-571.80999999999995</v>
      </c>
    </row>
    <row r="43" spans="1:14" x14ac:dyDescent="0.25">
      <c r="B43" s="5">
        <v>43693</v>
      </c>
      <c r="C43" s="7" t="s">
        <v>1123</v>
      </c>
      <c r="D43" s="24">
        <f>-(109.49+228.52+125.17+237.19+84.8)</f>
        <v>-785.17</v>
      </c>
    </row>
    <row r="44" spans="1:14" x14ac:dyDescent="0.25">
      <c r="B44" s="5">
        <v>43693</v>
      </c>
      <c r="C44" s="7" t="s">
        <v>1124</v>
      </c>
      <c r="D44" s="24">
        <v>-822.03999999999985</v>
      </c>
    </row>
    <row r="45" spans="1:14" x14ac:dyDescent="0.25">
      <c r="B45" s="5">
        <v>43752</v>
      </c>
      <c r="C45" s="7" t="s">
        <v>1125</v>
      </c>
      <c r="D45" s="24">
        <v>-124.26</v>
      </c>
    </row>
    <row r="46" spans="1:14" x14ac:dyDescent="0.25">
      <c r="B46" s="5"/>
      <c r="C46" s="7"/>
      <c r="D46" s="24"/>
    </row>
    <row r="47" spans="1:14" x14ac:dyDescent="0.25">
      <c r="B47" s="5"/>
      <c r="C47" s="7"/>
      <c r="D47" s="24"/>
    </row>
    <row r="48" spans="1:14" x14ac:dyDescent="0.25">
      <c r="B48" s="5"/>
      <c r="C48" s="7"/>
      <c r="D48" s="24"/>
    </row>
    <row r="49" spans="2:4" x14ac:dyDescent="0.25">
      <c r="B49" s="5"/>
      <c r="C49" s="7"/>
      <c r="D49" s="24"/>
    </row>
    <row r="50" spans="2:4" x14ac:dyDescent="0.25">
      <c r="B50" s="5"/>
      <c r="C50" s="7"/>
      <c r="D50" s="24"/>
    </row>
    <row r="51" spans="2:4" x14ac:dyDescent="0.25">
      <c r="B51" s="5"/>
      <c r="C51" s="7"/>
      <c r="D51" s="24"/>
    </row>
    <row r="52" spans="2:4" x14ac:dyDescent="0.25">
      <c r="B52" s="5"/>
      <c r="C52" s="7"/>
      <c r="D52" s="24"/>
    </row>
    <row r="53" spans="2:4" x14ac:dyDescent="0.25">
      <c r="B53" s="5"/>
      <c r="C53" s="7"/>
      <c r="D53" s="24"/>
    </row>
    <row r="54" spans="2:4" x14ac:dyDescent="0.25">
      <c r="B54" s="44"/>
      <c r="C54" s="10"/>
      <c r="D54" s="23"/>
    </row>
    <row r="55" spans="2:4" x14ac:dyDescent="0.25">
      <c r="B55" s="44"/>
      <c r="C55" s="10" t="s">
        <v>703</v>
      </c>
      <c r="D55" s="48">
        <f>SUM(D38:D54)</f>
        <v>8546.3000000000011</v>
      </c>
    </row>
    <row r="56" spans="2:4" x14ac:dyDescent="0.25">
      <c r="D56" s="1"/>
    </row>
    <row r="57" spans="2:4" x14ac:dyDescent="0.25">
      <c r="B57" s="44"/>
      <c r="C57" s="45" t="s">
        <v>795</v>
      </c>
      <c r="D57" s="23">
        <v>712.41</v>
      </c>
    </row>
    <row r="58" spans="2:4" x14ac:dyDescent="0.25">
      <c r="B58" s="5">
        <v>43514</v>
      </c>
      <c r="C58" s="10" t="s">
        <v>1126</v>
      </c>
      <c r="D58" s="23">
        <f>19.52+17.3</f>
        <v>36.82</v>
      </c>
    </row>
    <row r="59" spans="2:4" x14ac:dyDescent="0.25">
      <c r="B59" s="5">
        <v>43538</v>
      </c>
      <c r="C59" s="10" t="s">
        <v>1127</v>
      </c>
      <c r="D59" s="23">
        <v>50.87</v>
      </c>
    </row>
    <row r="60" spans="2:4" x14ac:dyDescent="0.25">
      <c r="B60" s="5">
        <v>43601</v>
      </c>
      <c r="C60" s="10" t="s">
        <v>1128</v>
      </c>
      <c r="D60" s="23">
        <f>44.06+64.56</f>
        <v>108.62</v>
      </c>
    </row>
    <row r="61" spans="2:4" x14ac:dyDescent="0.25">
      <c r="B61" s="5">
        <v>43606</v>
      </c>
      <c r="C61" s="10" t="s">
        <v>1129</v>
      </c>
      <c r="D61" s="23">
        <v>55.1</v>
      </c>
    </row>
    <row r="62" spans="2:4" x14ac:dyDescent="0.25">
      <c r="B62" s="5">
        <v>43720</v>
      </c>
      <c r="C62" s="10" t="s">
        <v>1130</v>
      </c>
      <c r="D62" s="23">
        <v>18.16</v>
      </c>
    </row>
    <row r="63" spans="2:4" x14ac:dyDescent="0.25">
      <c r="B63" s="5">
        <v>43749</v>
      </c>
      <c r="C63" s="10" t="s">
        <v>1131</v>
      </c>
      <c r="D63" s="23">
        <f>41.85+18.16</f>
        <v>60.010000000000005</v>
      </c>
    </row>
    <row r="64" spans="2:4" x14ac:dyDescent="0.25">
      <c r="B64" s="5"/>
      <c r="C64" s="10"/>
      <c r="D64" s="23"/>
    </row>
    <row r="65" spans="2:4" x14ac:dyDescent="0.25">
      <c r="B65" s="5"/>
      <c r="C65" s="10"/>
      <c r="D65" s="23"/>
    </row>
    <row r="66" spans="2:4" x14ac:dyDescent="0.25">
      <c r="B66" s="5"/>
      <c r="C66" s="10"/>
      <c r="D66" s="23"/>
    </row>
    <row r="67" spans="2:4" x14ac:dyDescent="0.25">
      <c r="B67" s="5"/>
      <c r="C67" s="10"/>
      <c r="D67" s="23"/>
    </row>
    <row r="68" spans="2:4" x14ac:dyDescent="0.25">
      <c r="B68" s="44"/>
      <c r="C68" s="10" t="s">
        <v>703</v>
      </c>
      <c r="D68" s="48">
        <f>D57-SUM(D58:D67)</f>
        <v>382.83</v>
      </c>
    </row>
    <row r="69" spans="2:4" x14ac:dyDescent="0.25">
      <c r="D69" s="1"/>
    </row>
    <row r="70" spans="2:4" x14ac:dyDescent="0.25">
      <c r="B70" s="44"/>
      <c r="C70" s="45" t="s">
        <v>715</v>
      </c>
      <c r="D70" s="23">
        <v>6395.4</v>
      </c>
    </row>
    <row r="71" spans="2:4" x14ac:dyDescent="0.25">
      <c r="B71" s="94">
        <v>2501</v>
      </c>
      <c r="C71" s="10" t="s">
        <v>1132</v>
      </c>
      <c r="D71" s="23">
        <f>-(52+70)</f>
        <v>-122</v>
      </c>
    </row>
    <row r="72" spans="2:4" x14ac:dyDescent="0.25">
      <c r="B72" s="94">
        <v>1902</v>
      </c>
      <c r="C72" s="10" t="s">
        <v>1133</v>
      </c>
      <c r="D72" s="23">
        <v>-325</v>
      </c>
    </row>
    <row r="73" spans="2:4" x14ac:dyDescent="0.25">
      <c r="B73" s="94">
        <v>2705</v>
      </c>
      <c r="C73" s="10" t="s">
        <v>1134</v>
      </c>
      <c r="D73" s="23">
        <f>-(175+280+70+405+70)</f>
        <v>-1000</v>
      </c>
    </row>
    <row r="74" spans="2:4" x14ac:dyDescent="0.25">
      <c r="B74" s="94">
        <v>2609</v>
      </c>
      <c r="C74" s="10" t="s">
        <v>1135</v>
      </c>
      <c r="D74" s="23">
        <f>-(50+47)</f>
        <v>-97</v>
      </c>
    </row>
    <row r="75" spans="2:4" x14ac:dyDescent="0.25">
      <c r="B75" s="94">
        <v>410</v>
      </c>
      <c r="C75" s="10" t="s">
        <v>698</v>
      </c>
      <c r="D75" s="23">
        <v>-180</v>
      </c>
    </row>
    <row r="76" spans="2:4" x14ac:dyDescent="0.25">
      <c r="B76" s="5"/>
      <c r="C76" s="7"/>
      <c r="D76" s="24"/>
    </row>
    <row r="77" spans="2:4" x14ac:dyDescent="0.25">
      <c r="B77" s="5"/>
      <c r="C77" s="7"/>
      <c r="D77" s="24"/>
    </row>
    <row r="78" spans="2:4" x14ac:dyDescent="0.25">
      <c r="B78" s="5"/>
      <c r="C78" s="7"/>
      <c r="D78" s="24"/>
    </row>
    <row r="79" spans="2:4" x14ac:dyDescent="0.25">
      <c r="B79" s="5"/>
      <c r="C79" s="7"/>
      <c r="D79" s="24"/>
    </row>
    <row r="80" spans="2:4" x14ac:dyDescent="0.25">
      <c r="B80" s="5"/>
      <c r="C80" s="7"/>
      <c r="D80" s="24"/>
    </row>
    <row r="81" spans="1:4" x14ac:dyDescent="0.25">
      <c r="B81" s="44"/>
      <c r="C81" s="10" t="s">
        <v>703</v>
      </c>
      <c r="D81" s="48">
        <f>SUM(D70:D80)</f>
        <v>4671.3999999999996</v>
      </c>
    </row>
    <row r="84" spans="1:4" x14ac:dyDescent="0.25">
      <c r="A84" s="232" t="s">
        <v>718</v>
      </c>
      <c r="B84" s="232"/>
      <c r="C84" s="232"/>
      <c r="D84" s="148">
        <f>D32</f>
        <v>1200</v>
      </c>
    </row>
    <row r="85" spans="1:4" x14ac:dyDescent="0.25">
      <c r="A85" s="149"/>
      <c r="B85" s="150">
        <v>43747</v>
      </c>
      <c r="C85" s="149" t="s">
        <v>1136</v>
      </c>
      <c r="D85" s="23">
        <v>107.93</v>
      </c>
    </row>
    <row r="86" spans="1:4" x14ac:dyDescent="0.25">
      <c r="A86" s="10"/>
      <c r="B86" s="147">
        <v>43769</v>
      </c>
      <c r="C86" s="149" t="s">
        <v>1137</v>
      </c>
      <c r="D86" s="23">
        <v>56</v>
      </c>
    </row>
    <row r="87" spans="1:4" x14ac:dyDescent="0.25">
      <c r="A87" s="10"/>
      <c r="B87" s="147">
        <v>43769</v>
      </c>
      <c r="C87" s="149" t="s">
        <v>1138</v>
      </c>
      <c r="D87" s="23">
        <v>207.9</v>
      </c>
    </row>
    <row r="88" spans="1:4" x14ac:dyDescent="0.25">
      <c r="A88" s="10"/>
      <c r="B88" s="147"/>
      <c r="C88" s="10"/>
      <c r="D88" s="23"/>
    </row>
    <row r="89" spans="1:4" x14ac:dyDescent="0.25">
      <c r="A89" s="10"/>
      <c r="B89" s="147"/>
      <c r="C89" s="10"/>
      <c r="D89" s="23"/>
    </row>
    <row r="90" spans="1:4" x14ac:dyDescent="0.25">
      <c r="A90" s="10"/>
      <c r="B90" s="147"/>
      <c r="C90" s="10"/>
      <c r="D90" s="23"/>
    </row>
    <row r="91" spans="1:4" x14ac:dyDescent="0.25">
      <c r="A91" s="10"/>
      <c r="B91" s="147"/>
      <c r="C91" s="10"/>
      <c r="D91" s="23"/>
    </row>
    <row r="92" spans="1:4" x14ac:dyDescent="0.25">
      <c r="A92" s="10"/>
      <c r="B92" s="147"/>
      <c r="C92" s="10"/>
      <c r="D92" s="23"/>
    </row>
    <row r="93" spans="1:4" x14ac:dyDescent="0.25">
      <c r="A93" s="10"/>
      <c r="B93" s="147"/>
      <c r="C93" s="10"/>
      <c r="D93" s="23"/>
    </row>
    <row r="94" spans="1:4" x14ac:dyDescent="0.25">
      <c r="A94" s="151"/>
      <c r="B94" s="152"/>
      <c r="C94" s="151"/>
      <c r="D94" s="23"/>
    </row>
    <row r="95" spans="1:4" x14ac:dyDescent="0.25">
      <c r="A95" s="232" t="s">
        <v>703</v>
      </c>
      <c r="B95" s="232"/>
      <c r="C95" s="232"/>
      <c r="D95" s="148">
        <f>D84-SUM(D85:D94)</f>
        <v>828.17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84:C84"/>
    <mergeCell ref="A95:C9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scale="67" fitToWidth="0" orientation="landscape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H17" sqref="H17"/>
    </sheetView>
  </sheetViews>
  <sheetFormatPr defaultRowHeight="15" x14ac:dyDescent="0.25"/>
  <cols>
    <col min="1" max="1" width="11.5703125" customWidth="1"/>
    <col min="2" max="2" width="14.140625" customWidth="1"/>
    <col min="3" max="3" width="76" customWidth="1"/>
    <col min="4" max="4" width="13.140625" customWidth="1"/>
    <col min="5" max="5" width="2.140625" customWidth="1"/>
    <col min="6" max="6" width="11.5703125" customWidth="1"/>
    <col min="7" max="7" width="17" customWidth="1"/>
    <col min="8" max="8" width="60.7109375" customWidth="1"/>
    <col min="9" max="9" width="13.28515625" customWidth="1"/>
    <col min="10" max="10" width="2.855468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1139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Geral!D38</f>
        <v>19342.213295999991</v>
      </c>
      <c r="F6" s="211" t="s">
        <v>687</v>
      </c>
      <c r="G6" s="212"/>
      <c r="H6" s="14" t="s">
        <v>582</v>
      </c>
      <c r="I6" s="24">
        <f>Geral!E38</f>
        <v>20833.828292857143</v>
      </c>
      <c r="K6" s="230" t="s">
        <v>688</v>
      </c>
      <c r="L6" s="230"/>
      <c r="M6" s="4" t="s">
        <v>582</v>
      </c>
      <c r="N6" s="24">
        <f>Geral!F38</f>
        <v>6775</v>
      </c>
    </row>
    <row r="7" spans="1:14" ht="15" customHeight="1" x14ac:dyDescent="0.25">
      <c r="A7" s="230"/>
      <c r="B7" s="230"/>
      <c r="C7" s="3" t="s">
        <v>583</v>
      </c>
      <c r="D7" s="24">
        <f>SUM(D10:D50)</f>
        <v>19342.21</v>
      </c>
      <c r="F7" s="213"/>
      <c r="G7" s="214"/>
      <c r="H7" s="14" t="s">
        <v>583</v>
      </c>
      <c r="I7" s="24">
        <f>SUM(I10:I53)</f>
        <v>16582.464999999997</v>
      </c>
      <c r="K7" s="230"/>
      <c r="L7" s="230"/>
      <c r="M7" s="4" t="s">
        <v>583</v>
      </c>
      <c r="N7" s="24">
        <f>SUM(N10:N32)</f>
        <v>6775</v>
      </c>
    </row>
    <row r="8" spans="1:14" ht="15" customHeight="1" x14ac:dyDescent="0.25">
      <c r="A8" s="230"/>
      <c r="B8" s="230"/>
      <c r="C8" s="3" t="s">
        <v>584</v>
      </c>
      <c r="D8" s="24">
        <f>D6-D7</f>
        <v>3.2959999916784E-3</v>
      </c>
      <c r="F8" s="215"/>
      <c r="G8" s="216"/>
      <c r="H8" s="14" t="s">
        <v>584</v>
      </c>
      <c r="I8" s="24">
        <f>I6-I7</f>
        <v>4251.363292857146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43537</v>
      </c>
      <c r="B10" s="6"/>
      <c r="C10" s="7" t="s">
        <v>1140</v>
      </c>
      <c r="D10" s="24">
        <v>1500</v>
      </c>
      <c r="F10" s="5">
        <v>43490</v>
      </c>
      <c r="G10" s="6" t="s">
        <v>1141</v>
      </c>
      <c r="H10" s="7" t="s">
        <v>1142</v>
      </c>
      <c r="I10" s="24">
        <v>1778.11</v>
      </c>
      <c r="K10" s="94">
        <v>706</v>
      </c>
      <c r="L10" s="95">
        <v>6025</v>
      </c>
      <c r="M10" s="76" t="s">
        <v>395</v>
      </c>
      <c r="N10" s="79">
        <v>2710</v>
      </c>
    </row>
    <row r="11" spans="1:14" x14ac:dyDescent="0.25">
      <c r="A11" s="94">
        <v>1403</v>
      </c>
      <c r="B11" s="95">
        <v>2276</v>
      </c>
      <c r="C11" s="76" t="s">
        <v>223</v>
      </c>
      <c r="D11" s="79">
        <v>2760</v>
      </c>
      <c r="F11" s="5">
        <v>43490</v>
      </c>
      <c r="G11" s="6"/>
      <c r="H11" s="7" t="s">
        <v>1143</v>
      </c>
      <c r="I11" s="24">
        <v>200.69</v>
      </c>
      <c r="K11" s="94">
        <v>2706</v>
      </c>
      <c r="L11" s="95">
        <v>7081</v>
      </c>
      <c r="M11" s="76" t="s">
        <v>417</v>
      </c>
      <c r="N11" s="79">
        <v>4065</v>
      </c>
    </row>
    <row r="12" spans="1:14" x14ac:dyDescent="0.25">
      <c r="A12" s="5">
        <v>43560</v>
      </c>
      <c r="B12" s="95">
        <v>3318</v>
      </c>
      <c r="C12" s="76" t="s">
        <v>276</v>
      </c>
      <c r="D12" s="79">
        <v>200</v>
      </c>
      <c r="F12" s="5">
        <v>43503</v>
      </c>
      <c r="G12" s="6" t="s">
        <v>1144</v>
      </c>
      <c r="H12" s="7" t="s">
        <v>1145</v>
      </c>
      <c r="I12" s="24">
        <v>536.22</v>
      </c>
      <c r="K12" s="8"/>
      <c r="L12" s="6"/>
      <c r="M12" s="7"/>
      <c r="N12" s="24"/>
    </row>
    <row r="13" spans="1:14" x14ac:dyDescent="0.25">
      <c r="A13" s="5">
        <v>43571</v>
      </c>
      <c r="B13" s="95">
        <v>3852</v>
      </c>
      <c r="C13" s="76" t="s">
        <v>307</v>
      </c>
      <c r="D13" s="79">
        <v>656.3</v>
      </c>
      <c r="F13" s="5">
        <v>43550</v>
      </c>
      <c r="G13" s="6" t="s">
        <v>1146</v>
      </c>
      <c r="H13" s="7" t="s">
        <v>1147</v>
      </c>
      <c r="I13" s="24">
        <v>162.68</v>
      </c>
      <c r="K13" s="8"/>
      <c r="L13" s="6"/>
      <c r="M13" s="7"/>
      <c r="N13" s="24"/>
    </row>
    <row r="14" spans="1:14" x14ac:dyDescent="0.25">
      <c r="A14" s="5">
        <v>43581</v>
      </c>
      <c r="B14" s="10"/>
      <c r="C14" s="10" t="s">
        <v>1148</v>
      </c>
      <c r="D14" s="23">
        <v>25</v>
      </c>
      <c r="F14" s="5">
        <v>43564</v>
      </c>
      <c r="G14" s="9" t="s">
        <v>1149</v>
      </c>
      <c r="H14" s="7" t="s">
        <v>1150</v>
      </c>
      <c r="I14" s="23">
        <v>713.22</v>
      </c>
      <c r="K14" s="8"/>
      <c r="L14" s="6"/>
      <c r="M14" s="7"/>
      <c r="N14" s="24"/>
    </row>
    <row r="15" spans="1:14" x14ac:dyDescent="0.25">
      <c r="A15" s="5">
        <v>43614</v>
      </c>
      <c r="B15" s="15"/>
      <c r="C15" s="10" t="s">
        <v>1151</v>
      </c>
      <c r="D15" s="23">
        <v>-1555.51</v>
      </c>
      <c r="F15" s="5">
        <v>43564</v>
      </c>
      <c r="G15" s="69" t="s">
        <v>1152</v>
      </c>
      <c r="H15" s="7" t="s">
        <v>1153</v>
      </c>
      <c r="I15" s="24">
        <v>713.22</v>
      </c>
      <c r="K15" s="8"/>
      <c r="L15" s="6"/>
      <c r="M15" s="7"/>
      <c r="N15" s="24"/>
    </row>
    <row r="16" spans="1:14" x14ac:dyDescent="0.25">
      <c r="A16" s="5">
        <v>43616</v>
      </c>
      <c r="B16" s="15"/>
      <c r="C16" s="7" t="s">
        <v>1154</v>
      </c>
      <c r="D16" s="24">
        <v>1081.49</v>
      </c>
      <c r="F16" s="5">
        <v>43571</v>
      </c>
      <c r="G16" s="6" t="s">
        <v>1155</v>
      </c>
      <c r="H16" s="7" t="s">
        <v>1156</v>
      </c>
      <c r="I16" s="24">
        <v>713.22</v>
      </c>
      <c r="K16" s="8"/>
      <c r="L16" s="6"/>
      <c r="M16" s="7"/>
      <c r="N16" s="24"/>
    </row>
    <row r="17" spans="1:14" x14ac:dyDescent="0.25">
      <c r="A17" s="5">
        <v>43623</v>
      </c>
      <c r="B17" s="95">
        <v>7485</v>
      </c>
      <c r="C17" s="7" t="s">
        <v>705</v>
      </c>
      <c r="D17" s="24">
        <v>34.35</v>
      </c>
      <c r="F17" s="5">
        <v>43614</v>
      </c>
      <c r="G17" s="6"/>
      <c r="H17" s="7" t="s">
        <v>1157</v>
      </c>
      <c r="I17" s="24">
        <v>1555.51</v>
      </c>
      <c r="K17" s="8"/>
      <c r="L17" s="6"/>
      <c r="M17" s="7"/>
      <c r="N17" s="24"/>
    </row>
    <row r="18" spans="1:14" x14ac:dyDescent="0.25">
      <c r="A18" s="5">
        <v>43627</v>
      </c>
      <c r="B18" s="95">
        <v>7632</v>
      </c>
      <c r="C18" s="7" t="s">
        <v>705</v>
      </c>
      <c r="D18" s="24">
        <v>120.29</v>
      </c>
      <c r="F18" s="94">
        <v>1006</v>
      </c>
      <c r="G18" s="6" t="s">
        <v>1158</v>
      </c>
      <c r="H18" s="7" t="s">
        <v>1159</v>
      </c>
      <c r="I18" s="24">
        <v>1311.18</v>
      </c>
      <c r="K18" s="8"/>
      <c r="L18" s="6"/>
      <c r="M18" s="7"/>
      <c r="N18" s="24"/>
    </row>
    <row r="19" spans="1:14" x14ac:dyDescent="0.25">
      <c r="A19" s="5">
        <v>43628</v>
      </c>
      <c r="B19" s="95">
        <v>7738</v>
      </c>
      <c r="C19" s="7" t="s">
        <v>705</v>
      </c>
      <c r="D19" s="23">
        <v>11.45</v>
      </c>
      <c r="F19" s="5">
        <v>43650</v>
      </c>
      <c r="G19" s="6"/>
      <c r="H19" s="7" t="s">
        <v>1160</v>
      </c>
      <c r="I19" s="24">
        <v>134.61000000000001</v>
      </c>
      <c r="K19" s="8"/>
      <c r="L19" s="6"/>
      <c r="M19" s="7"/>
      <c r="N19" s="24"/>
    </row>
    <row r="20" spans="1:14" x14ac:dyDescent="0.25">
      <c r="A20" s="5">
        <v>43628</v>
      </c>
      <c r="B20" s="95">
        <v>7756</v>
      </c>
      <c r="C20" s="7" t="s">
        <v>705</v>
      </c>
      <c r="D20" s="24">
        <v>803</v>
      </c>
      <c r="F20" s="5">
        <v>43654</v>
      </c>
      <c r="G20" s="6"/>
      <c r="H20" s="10" t="s">
        <v>1161</v>
      </c>
      <c r="I20" s="24">
        <v>3000</v>
      </c>
      <c r="K20" s="8"/>
      <c r="L20" s="6"/>
      <c r="M20" s="7"/>
      <c r="N20" s="24"/>
    </row>
    <row r="21" spans="1:14" x14ac:dyDescent="0.25">
      <c r="A21" s="5">
        <v>43650</v>
      </c>
      <c r="B21" s="15"/>
      <c r="C21" s="7" t="s">
        <v>1162</v>
      </c>
      <c r="D21" s="24">
        <v>-134.61000000000001</v>
      </c>
      <c r="F21" s="5">
        <v>43656</v>
      </c>
      <c r="G21" s="6"/>
      <c r="H21" s="7" t="s">
        <v>1163</v>
      </c>
      <c r="I21" s="24">
        <f>124.55*0.7</f>
        <v>87.184999999999988</v>
      </c>
      <c r="K21" s="8"/>
      <c r="L21" s="6"/>
      <c r="M21" s="7"/>
      <c r="N21" s="24"/>
    </row>
    <row r="22" spans="1:14" x14ac:dyDescent="0.25">
      <c r="A22" s="5">
        <v>43650</v>
      </c>
      <c r="B22" s="95">
        <v>8651</v>
      </c>
      <c r="C22" s="7" t="s">
        <v>705</v>
      </c>
      <c r="D22" s="23">
        <v>53.24</v>
      </c>
      <c r="F22" s="5">
        <v>43671</v>
      </c>
      <c r="G22" s="6"/>
      <c r="H22" s="7" t="s">
        <v>1160</v>
      </c>
      <c r="I22" s="24">
        <v>140.38999999999999</v>
      </c>
      <c r="K22" s="8"/>
      <c r="L22" s="6"/>
      <c r="M22" s="7"/>
      <c r="N22" s="24"/>
    </row>
    <row r="23" spans="1:14" x14ac:dyDescent="0.25">
      <c r="A23" s="5">
        <v>43651</v>
      </c>
      <c r="B23" s="95">
        <v>8552</v>
      </c>
      <c r="C23" s="7" t="s">
        <v>705</v>
      </c>
      <c r="D23" s="23">
        <v>45.8</v>
      </c>
      <c r="F23" s="5">
        <v>43682</v>
      </c>
      <c r="G23" s="6"/>
      <c r="H23" s="7" t="s">
        <v>1157</v>
      </c>
      <c r="I23" s="24">
        <v>181.83</v>
      </c>
      <c r="K23" s="8"/>
      <c r="L23" s="6"/>
      <c r="M23" s="7"/>
      <c r="N23" s="24"/>
    </row>
    <row r="24" spans="1:14" x14ac:dyDescent="0.25">
      <c r="A24" s="5">
        <v>43654</v>
      </c>
      <c r="B24" s="15"/>
      <c r="C24" s="7" t="s">
        <v>1164</v>
      </c>
      <c r="D24" s="23">
        <v>-3000</v>
      </c>
      <c r="F24" s="5">
        <v>43692</v>
      </c>
      <c r="G24" s="6"/>
      <c r="H24" s="10" t="s">
        <v>1165</v>
      </c>
      <c r="I24" s="24">
        <v>517.24</v>
      </c>
      <c r="K24" s="8"/>
      <c r="L24" s="6"/>
      <c r="M24" s="7"/>
      <c r="N24" s="24"/>
    </row>
    <row r="25" spans="1:14" x14ac:dyDescent="0.25">
      <c r="A25" s="5">
        <v>43671</v>
      </c>
      <c r="B25" s="15"/>
      <c r="C25" s="7" t="s">
        <v>1162</v>
      </c>
      <c r="D25" s="24">
        <v>-140.38999999999999</v>
      </c>
      <c r="F25" s="5">
        <v>43698</v>
      </c>
      <c r="G25" s="6" t="s">
        <v>1166</v>
      </c>
      <c r="H25" s="7" t="s">
        <v>1167</v>
      </c>
      <c r="I25" s="24">
        <f>967.52+474.11</f>
        <v>1441.63</v>
      </c>
      <c r="K25" s="8"/>
      <c r="L25" s="6"/>
      <c r="M25" s="7"/>
      <c r="N25" s="24"/>
    </row>
    <row r="26" spans="1:14" x14ac:dyDescent="0.25">
      <c r="A26" s="5">
        <v>43677</v>
      </c>
      <c r="B26" s="95">
        <v>8721</v>
      </c>
      <c r="C26" s="76" t="s">
        <v>457</v>
      </c>
      <c r="D26" s="79">
        <v>324.99</v>
      </c>
      <c r="F26" s="5">
        <v>43700</v>
      </c>
      <c r="G26" s="6" t="s">
        <v>1168</v>
      </c>
      <c r="H26" s="7" t="s">
        <v>1169</v>
      </c>
      <c r="I26" s="24">
        <v>964.4</v>
      </c>
      <c r="K26" s="8"/>
      <c r="L26" s="6"/>
      <c r="M26" s="7"/>
      <c r="N26" s="24"/>
    </row>
    <row r="27" spans="1:14" x14ac:dyDescent="0.25">
      <c r="A27" s="5">
        <v>43682</v>
      </c>
      <c r="B27" s="15"/>
      <c r="C27" s="10" t="s">
        <v>1170</v>
      </c>
      <c r="D27" s="24">
        <v>-181.83</v>
      </c>
      <c r="F27" s="5">
        <v>43700</v>
      </c>
      <c r="G27" s="6"/>
      <c r="H27" s="7" t="s">
        <v>1171</v>
      </c>
      <c r="I27" s="24">
        <v>237.23</v>
      </c>
      <c r="K27" s="8"/>
      <c r="L27" s="6"/>
      <c r="M27" s="7"/>
      <c r="N27" s="24"/>
    </row>
    <row r="28" spans="1:14" x14ac:dyDescent="0.25">
      <c r="A28" s="94">
        <v>608</v>
      </c>
      <c r="B28" s="15" t="s">
        <v>1172</v>
      </c>
      <c r="C28" s="76" t="s">
        <v>1173</v>
      </c>
      <c r="D28" s="23">
        <v>170</v>
      </c>
      <c r="F28" s="5">
        <v>43742</v>
      </c>
      <c r="G28" s="6"/>
      <c r="H28" s="7" t="s">
        <v>1174</v>
      </c>
      <c r="I28" s="24">
        <f>(169.45*2)*0.7</f>
        <v>237.22999999999996</v>
      </c>
      <c r="K28" s="8"/>
      <c r="L28" s="6"/>
      <c r="M28" s="7"/>
      <c r="N28" s="24"/>
    </row>
    <row r="29" spans="1:14" x14ac:dyDescent="0.25">
      <c r="A29" s="5">
        <v>43684</v>
      </c>
      <c r="B29" s="95">
        <v>9860</v>
      </c>
      <c r="C29" s="7" t="s">
        <v>705</v>
      </c>
      <c r="D29" s="24">
        <v>1664.58</v>
      </c>
      <c r="F29" s="5">
        <v>43749</v>
      </c>
      <c r="G29" s="6" t="s">
        <v>1175</v>
      </c>
      <c r="H29" s="7" t="s">
        <v>1176</v>
      </c>
      <c r="I29" s="24">
        <f>631.22+399.1</f>
        <v>1030.3200000000002</v>
      </c>
      <c r="K29" s="8"/>
      <c r="L29" s="6"/>
      <c r="M29" s="7"/>
      <c r="N29" s="24"/>
    </row>
    <row r="30" spans="1:14" x14ac:dyDescent="0.25">
      <c r="A30" s="5">
        <v>43692</v>
      </c>
      <c r="B30" s="95">
        <v>10361</v>
      </c>
      <c r="C30" s="7" t="s">
        <v>705</v>
      </c>
      <c r="D30" s="24">
        <v>299.08999999999997</v>
      </c>
      <c r="F30" s="5">
        <v>43762</v>
      </c>
      <c r="G30" s="6"/>
      <c r="H30" s="7" t="s">
        <v>1160</v>
      </c>
      <c r="I30" s="24">
        <v>926.35</v>
      </c>
      <c r="K30" s="8"/>
      <c r="L30" s="6"/>
      <c r="M30" s="7"/>
      <c r="N30" s="24"/>
    </row>
    <row r="31" spans="1:14" x14ac:dyDescent="0.25">
      <c r="A31" s="5">
        <v>43692</v>
      </c>
      <c r="B31" s="15"/>
      <c r="C31" s="7" t="s">
        <v>1177</v>
      </c>
      <c r="D31" s="24">
        <v>-517.24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43696</v>
      </c>
      <c r="B32" s="95">
        <v>10559</v>
      </c>
      <c r="C32" s="7" t="s">
        <v>705</v>
      </c>
      <c r="D32" s="24">
        <v>34.35</v>
      </c>
      <c r="F32" s="5"/>
      <c r="G32" s="6"/>
      <c r="H32" s="7"/>
      <c r="I32" s="24"/>
      <c r="K32" s="8"/>
      <c r="L32" s="6"/>
      <c r="M32" s="7"/>
      <c r="N32" s="24"/>
    </row>
    <row r="33" spans="1:9" x14ac:dyDescent="0.25">
      <c r="A33" s="5">
        <v>43700</v>
      </c>
      <c r="B33" s="95">
        <v>10410</v>
      </c>
      <c r="C33" s="7" t="s">
        <v>705</v>
      </c>
      <c r="D33" s="23">
        <v>103.32</v>
      </c>
      <c r="F33" s="5"/>
      <c r="G33" s="6"/>
      <c r="H33" s="7"/>
      <c r="I33" s="24"/>
    </row>
    <row r="34" spans="1:9" x14ac:dyDescent="0.25">
      <c r="A34" s="5">
        <v>43717</v>
      </c>
      <c r="B34" s="95">
        <v>11521</v>
      </c>
      <c r="C34" s="7" t="s">
        <v>705</v>
      </c>
      <c r="D34" s="23">
        <v>28.37</v>
      </c>
      <c r="F34" s="5"/>
      <c r="G34" s="6"/>
      <c r="H34" s="7"/>
      <c r="I34" s="24"/>
    </row>
    <row r="35" spans="1:9" x14ac:dyDescent="0.25">
      <c r="A35" s="5">
        <v>43717</v>
      </c>
      <c r="B35" s="95">
        <v>11655</v>
      </c>
      <c r="C35" s="7" t="s">
        <v>705</v>
      </c>
      <c r="D35" s="23">
        <v>34.35</v>
      </c>
      <c r="F35" s="5"/>
      <c r="G35" s="6"/>
      <c r="H35" s="7"/>
      <c r="I35" s="24"/>
    </row>
    <row r="36" spans="1:9" x14ac:dyDescent="0.25">
      <c r="A36" s="5">
        <v>43731</v>
      </c>
      <c r="B36" s="95">
        <v>11944</v>
      </c>
      <c r="C36" s="7" t="s">
        <v>705</v>
      </c>
      <c r="D36" s="23">
        <v>34.9</v>
      </c>
      <c r="F36" s="5"/>
      <c r="G36" s="6"/>
      <c r="H36" s="7"/>
      <c r="I36" s="24"/>
    </row>
    <row r="37" spans="1:9" x14ac:dyDescent="0.25">
      <c r="A37" s="5">
        <v>43731</v>
      </c>
      <c r="B37" s="95">
        <v>12312</v>
      </c>
      <c r="C37" s="7" t="s">
        <v>705</v>
      </c>
      <c r="D37" s="23">
        <v>22.9</v>
      </c>
      <c r="F37" s="5"/>
      <c r="G37" s="6"/>
      <c r="H37" s="7"/>
      <c r="I37" s="24"/>
    </row>
    <row r="38" spans="1:9" x14ac:dyDescent="0.25">
      <c r="A38" s="5">
        <v>43731</v>
      </c>
      <c r="B38" s="95"/>
      <c r="C38" s="7" t="s">
        <v>710</v>
      </c>
      <c r="D38" s="23">
        <v>2000</v>
      </c>
      <c r="F38" s="5"/>
      <c r="G38" s="6"/>
      <c r="H38" s="7"/>
      <c r="I38" s="24"/>
    </row>
    <row r="39" spans="1:9" x14ac:dyDescent="0.25">
      <c r="A39" s="5">
        <v>43742</v>
      </c>
      <c r="B39" s="10"/>
      <c r="C39" s="10" t="s">
        <v>698</v>
      </c>
      <c r="D39" s="23">
        <v>300</v>
      </c>
      <c r="F39" s="5"/>
      <c r="G39" s="6"/>
      <c r="H39" s="7"/>
      <c r="I39" s="24"/>
    </row>
    <row r="40" spans="1:9" x14ac:dyDescent="0.25">
      <c r="A40" s="5">
        <v>43752</v>
      </c>
      <c r="B40" s="10" t="s">
        <v>1178</v>
      </c>
      <c r="C40" s="76" t="s">
        <v>1179</v>
      </c>
      <c r="D40" s="80">
        <v>305.8</v>
      </c>
      <c r="F40" s="5"/>
      <c r="G40" s="6"/>
      <c r="H40" s="7"/>
      <c r="I40" s="24"/>
    </row>
    <row r="41" spans="1:9" x14ac:dyDescent="0.25">
      <c r="A41" s="5">
        <v>43759</v>
      </c>
      <c r="B41" s="6"/>
      <c r="C41" s="7" t="s">
        <v>701</v>
      </c>
      <c r="D41" s="23">
        <v>12258.22</v>
      </c>
      <c r="F41" s="5"/>
      <c r="G41" s="6"/>
      <c r="H41" s="7"/>
      <c r="I41" s="24"/>
    </row>
    <row r="42" spans="1:9" x14ac:dyDescent="0.25">
      <c r="A42" s="68"/>
      <c r="B42" s="10"/>
      <c r="C42" s="10"/>
      <c r="D42" s="23"/>
      <c r="F42" s="5"/>
      <c r="G42" s="6"/>
      <c r="H42" s="7"/>
      <c r="I42" s="24"/>
    </row>
    <row r="43" spans="1:9" x14ac:dyDescent="0.25">
      <c r="A43" s="68"/>
      <c r="B43" s="10"/>
      <c r="C43" s="10"/>
      <c r="D43" s="23"/>
      <c r="F43" s="5"/>
      <c r="G43" s="6"/>
      <c r="H43" s="7"/>
      <c r="I43" s="24"/>
    </row>
    <row r="44" spans="1:9" x14ac:dyDescent="0.25">
      <c r="A44" s="68"/>
      <c r="B44" s="71"/>
      <c r="C44" s="10"/>
      <c r="D44" s="23"/>
      <c r="F44" s="5"/>
      <c r="G44" s="6"/>
      <c r="H44" s="7"/>
      <c r="I44" s="24"/>
    </row>
    <row r="45" spans="1:9" x14ac:dyDescent="0.25">
      <c r="A45" s="68"/>
      <c r="B45" s="71"/>
      <c r="C45" s="10"/>
      <c r="D45" s="23"/>
      <c r="F45" s="5"/>
      <c r="G45" s="6"/>
      <c r="H45" s="7"/>
      <c r="I45" s="24"/>
    </row>
    <row r="46" spans="1:9" x14ac:dyDescent="0.25">
      <c r="A46" s="68"/>
      <c r="B46" s="71"/>
      <c r="C46" s="10"/>
      <c r="D46" s="23"/>
      <c r="F46" s="5"/>
      <c r="G46" s="6"/>
      <c r="H46" s="7"/>
      <c r="I46" s="24"/>
    </row>
    <row r="47" spans="1:9" x14ac:dyDescent="0.25">
      <c r="A47" s="5"/>
      <c r="B47" s="6"/>
      <c r="C47" s="7"/>
      <c r="D47" s="24"/>
      <c r="F47" s="5"/>
      <c r="G47" s="6"/>
      <c r="H47" s="7"/>
      <c r="I47" s="24"/>
    </row>
    <row r="48" spans="1:9" x14ac:dyDescent="0.25">
      <c r="A48" s="5"/>
      <c r="B48" s="6"/>
      <c r="C48" s="7"/>
      <c r="D48" s="24"/>
    </row>
    <row r="49" spans="1:4" x14ac:dyDescent="0.25">
      <c r="A49" s="68"/>
      <c r="B49" s="71"/>
      <c r="C49" s="10"/>
      <c r="D49" s="23"/>
    </row>
    <row r="50" spans="1:4" x14ac:dyDescent="0.25">
      <c r="A50" s="46"/>
      <c r="B50" s="78"/>
      <c r="C50" s="76"/>
      <c r="D50" s="79"/>
    </row>
    <row r="51" spans="1:4" x14ac:dyDescent="0.25">
      <c r="A51" s="31"/>
      <c r="B51" s="32"/>
      <c r="C51" s="33"/>
      <c r="D51" s="41"/>
    </row>
    <row r="52" spans="1:4" x14ac:dyDescent="0.25">
      <c r="A52" s="232" t="s">
        <v>718</v>
      </c>
      <c r="B52" s="232"/>
      <c r="C52" s="232"/>
      <c r="D52" s="148">
        <f>D38</f>
        <v>2000</v>
      </c>
    </row>
    <row r="53" spans="1:4" x14ac:dyDescent="0.25">
      <c r="A53" s="5">
        <v>43738</v>
      </c>
      <c r="B53" s="95">
        <v>12608</v>
      </c>
      <c r="C53" s="7" t="s">
        <v>705</v>
      </c>
      <c r="D53" s="23">
        <v>61.39</v>
      </c>
    </row>
    <row r="54" spans="1:4" x14ac:dyDescent="0.25">
      <c r="A54" s="5">
        <v>43748</v>
      </c>
      <c r="B54" s="95">
        <v>13097</v>
      </c>
      <c r="C54" s="7" t="s">
        <v>705</v>
      </c>
      <c r="D54" s="23">
        <v>34.35</v>
      </c>
    </row>
    <row r="55" spans="1:4" x14ac:dyDescent="0.25">
      <c r="A55" s="5">
        <v>43748</v>
      </c>
      <c r="B55" s="95">
        <v>13100</v>
      </c>
      <c r="C55" s="7" t="s">
        <v>705</v>
      </c>
      <c r="D55" s="23">
        <v>500.57</v>
      </c>
    </row>
    <row r="56" spans="1:4" x14ac:dyDescent="0.25">
      <c r="A56" s="5">
        <v>43748</v>
      </c>
      <c r="B56" s="95">
        <v>13163</v>
      </c>
      <c r="C56" s="7" t="s">
        <v>705</v>
      </c>
      <c r="D56" s="23">
        <v>38.67</v>
      </c>
    </row>
    <row r="57" spans="1:4" x14ac:dyDescent="0.25">
      <c r="A57" s="5">
        <v>43752</v>
      </c>
      <c r="B57" s="95">
        <v>13230</v>
      </c>
      <c r="C57" s="7" t="s">
        <v>705</v>
      </c>
      <c r="D57" s="23">
        <v>68.15000000000002</v>
      </c>
    </row>
    <row r="58" spans="1:4" x14ac:dyDescent="0.25">
      <c r="A58" s="5">
        <v>43755</v>
      </c>
      <c r="B58" s="95">
        <v>13536</v>
      </c>
      <c r="C58" s="7" t="s">
        <v>705</v>
      </c>
      <c r="D58" s="23">
        <v>10.77</v>
      </c>
    </row>
    <row r="59" spans="1:4" x14ac:dyDescent="0.25">
      <c r="A59" s="10"/>
      <c r="B59" s="147"/>
      <c r="C59" s="10"/>
      <c r="D59" s="23"/>
    </row>
    <row r="60" spans="1:4" x14ac:dyDescent="0.25">
      <c r="A60" s="10"/>
      <c r="B60" s="147"/>
      <c r="C60" s="10"/>
      <c r="D60" s="23"/>
    </row>
    <row r="61" spans="1:4" x14ac:dyDescent="0.25">
      <c r="A61" s="10"/>
      <c r="B61" s="147"/>
      <c r="C61" s="10"/>
      <c r="D61" s="23"/>
    </row>
    <row r="62" spans="1:4" x14ac:dyDescent="0.25">
      <c r="A62" s="151"/>
      <c r="B62" s="152"/>
      <c r="C62" s="151"/>
      <c r="D62" s="23"/>
    </row>
    <row r="63" spans="1:4" x14ac:dyDescent="0.25">
      <c r="A63" s="232" t="s">
        <v>703</v>
      </c>
      <c r="B63" s="232"/>
      <c r="C63" s="232"/>
      <c r="D63" s="148">
        <f>D52-SUM(D53:D62)</f>
        <v>1286.1000000000001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52:C52"/>
    <mergeCell ref="A63:C63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1.85546875" customWidth="1"/>
    <col min="3" max="3" width="68.28515625" customWidth="1"/>
    <col min="4" max="4" width="13.28515625" customWidth="1"/>
    <col min="5" max="5" width="2.42578125" customWidth="1"/>
    <col min="6" max="6" width="11.5703125" customWidth="1"/>
    <col min="7" max="7" width="15.5703125" customWidth="1"/>
    <col min="8" max="8" width="62.140625" customWidth="1"/>
    <col min="9" max="9" width="20.85546875" customWidth="1"/>
    <col min="10" max="10" width="3.28515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1180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Geral!D39</f>
        <v>40871.938809999992</v>
      </c>
      <c r="F6" s="211" t="s">
        <v>687</v>
      </c>
      <c r="G6" s="212"/>
      <c r="H6" s="14" t="s">
        <v>582</v>
      </c>
      <c r="I6" s="24">
        <f>Geral!E39</f>
        <v>17210.553807142856</v>
      </c>
      <c r="K6" s="230" t="s">
        <v>688</v>
      </c>
      <c r="L6" s="230"/>
      <c r="M6" s="4" t="s">
        <v>582</v>
      </c>
      <c r="N6" s="24">
        <f>Geral!F39</f>
        <v>9127.58</v>
      </c>
    </row>
    <row r="7" spans="1:14" ht="15" customHeight="1" x14ac:dyDescent="0.25">
      <c r="A7" s="230"/>
      <c r="B7" s="230"/>
      <c r="C7" s="3" t="s">
        <v>583</v>
      </c>
      <c r="D7" s="24">
        <f>SUM(D10:D116)</f>
        <v>40871.939999999988</v>
      </c>
      <c r="F7" s="213"/>
      <c r="G7" s="214"/>
      <c r="H7" s="14" t="s">
        <v>583</v>
      </c>
      <c r="I7" s="24">
        <f>SUM(I10:I32)</f>
        <v>10748.18</v>
      </c>
      <c r="K7" s="230"/>
      <c r="L7" s="230"/>
      <c r="M7" s="4" t="s">
        <v>583</v>
      </c>
      <c r="N7" s="24">
        <f>SUM(N10:N32)</f>
        <v>9127.58</v>
      </c>
    </row>
    <row r="8" spans="1:14" ht="15" customHeight="1" x14ac:dyDescent="0.25">
      <c r="A8" s="230"/>
      <c r="B8" s="230"/>
      <c r="C8" s="3" t="s">
        <v>584</v>
      </c>
      <c r="D8" s="24">
        <f>D6-D7</f>
        <v>-1.1899999954039231E-3</v>
      </c>
      <c r="F8" s="215"/>
      <c r="G8" s="216"/>
      <c r="H8" s="14" t="s">
        <v>584</v>
      </c>
      <c r="I8" s="24">
        <f>I6-I7</f>
        <v>6462.3738071428561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15"/>
      <c r="C10" s="7" t="s">
        <v>724</v>
      </c>
      <c r="D10" s="24">
        <v>105</v>
      </c>
      <c r="F10" s="5">
        <v>43503</v>
      </c>
      <c r="G10" s="6" t="s">
        <v>1181</v>
      </c>
      <c r="H10" s="7" t="s">
        <v>1182</v>
      </c>
      <c r="I10" s="24">
        <f>2431+521.9</f>
        <v>2952.9</v>
      </c>
      <c r="K10" s="94">
        <v>406</v>
      </c>
      <c r="L10" s="95">
        <v>5759</v>
      </c>
      <c r="M10" s="76" t="s">
        <v>371</v>
      </c>
      <c r="N10" s="79">
        <v>1676</v>
      </c>
    </row>
    <row r="11" spans="1:14" x14ac:dyDescent="0.25">
      <c r="A11" s="5">
        <v>43517</v>
      </c>
      <c r="B11" s="15"/>
      <c r="C11" s="7" t="s">
        <v>725</v>
      </c>
      <c r="D11" s="24">
        <v>250</v>
      </c>
      <c r="F11" s="5">
        <v>43504</v>
      </c>
      <c r="G11" s="6" t="s">
        <v>1183</v>
      </c>
      <c r="H11" s="7" t="s">
        <v>1184</v>
      </c>
      <c r="I11" s="24">
        <f>2675.94+626</f>
        <v>3301.94</v>
      </c>
      <c r="K11" s="94">
        <v>406</v>
      </c>
      <c r="L11" s="95">
        <v>5760</v>
      </c>
      <c r="M11" s="76" t="s">
        <v>372</v>
      </c>
      <c r="N11" s="79">
        <v>1336.22</v>
      </c>
    </row>
    <row r="12" spans="1:14" x14ac:dyDescent="0.25">
      <c r="A12" s="5">
        <v>43518</v>
      </c>
      <c r="B12" s="15"/>
      <c r="C12" s="7" t="s">
        <v>1185</v>
      </c>
      <c r="D12" s="24">
        <v>899</v>
      </c>
      <c r="F12" s="5">
        <v>43504</v>
      </c>
      <c r="G12" s="6"/>
      <c r="H12" s="7" t="s">
        <v>1186</v>
      </c>
      <c r="I12" s="24">
        <v>87.189999999999984</v>
      </c>
      <c r="K12" s="94">
        <v>406</v>
      </c>
      <c r="L12" s="95">
        <v>5763</v>
      </c>
      <c r="M12" s="76" t="s">
        <v>373</v>
      </c>
      <c r="N12" s="79">
        <v>2300</v>
      </c>
    </row>
    <row r="13" spans="1:14" x14ac:dyDescent="0.25">
      <c r="A13" s="94">
        <v>2702</v>
      </c>
      <c r="B13" s="95">
        <v>1709</v>
      </c>
      <c r="C13" s="7" t="s">
        <v>189</v>
      </c>
      <c r="D13" s="24">
        <v>30</v>
      </c>
      <c r="F13" s="5">
        <v>43504</v>
      </c>
      <c r="G13" s="6" t="s">
        <v>1187</v>
      </c>
      <c r="H13" s="7" t="s">
        <v>1188</v>
      </c>
      <c r="I13" s="23">
        <f>521.9+3681.96</f>
        <v>4203.8599999999997</v>
      </c>
      <c r="K13" s="94">
        <v>406</v>
      </c>
      <c r="L13" s="95">
        <v>5764</v>
      </c>
      <c r="M13" s="76" t="s">
        <v>374</v>
      </c>
      <c r="N13" s="79">
        <v>1764.36</v>
      </c>
    </row>
    <row r="14" spans="1:14" x14ac:dyDescent="0.25">
      <c r="A14" s="5">
        <v>43535</v>
      </c>
      <c r="B14" s="15"/>
      <c r="C14" s="7" t="s">
        <v>1189</v>
      </c>
      <c r="D14" s="24">
        <v>1000</v>
      </c>
      <c r="F14" s="5">
        <v>43514</v>
      </c>
      <c r="G14" s="6"/>
      <c r="H14" s="7" t="s">
        <v>1190</v>
      </c>
      <c r="I14" s="24">
        <v>134.61000000000001</v>
      </c>
      <c r="K14" s="94">
        <v>606</v>
      </c>
      <c r="L14" s="95">
        <v>5916</v>
      </c>
      <c r="M14" s="76" t="s">
        <v>382</v>
      </c>
      <c r="N14" s="79">
        <v>1072</v>
      </c>
    </row>
    <row r="15" spans="1:14" x14ac:dyDescent="0.25">
      <c r="A15" s="5">
        <v>43536</v>
      </c>
      <c r="B15" s="95">
        <v>2061</v>
      </c>
      <c r="C15" s="76" t="s">
        <v>211</v>
      </c>
      <c r="D15" s="79">
        <v>1204.8</v>
      </c>
      <c r="F15" s="5">
        <v>43605</v>
      </c>
      <c r="G15" s="6" t="s">
        <v>1191</v>
      </c>
      <c r="H15" s="7" t="s">
        <v>1192</v>
      </c>
      <c r="I15" s="24">
        <v>67.680000000000007</v>
      </c>
      <c r="K15" s="94">
        <v>606</v>
      </c>
      <c r="L15" s="95">
        <v>5766</v>
      </c>
      <c r="M15" s="76" t="s">
        <v>383</v>
      </c>
      <c r="N15" s="79">
        <v>1958</v>
      </c>
    </row>
    <row r="16" spans="1:14" x14ac:dyDescent="0.25">
      <c r="A16" s="5">
        <v>43539</v>
      </c>
      <c r="B16" s="70"/>
      <c r="C16" s="7" t="s">
        <v>1193</v>
      </c>
      <c r="D16" s="23">
        <v>340</v>
      </c>
      <c r="F16" s="5"/>
      <c r="G16" s="6"/>
      <c r="H16" s="7"/>
      <c r="I16" s="24"/>
      <c r="K16" s="8">
        <v>43622</v>
      </c>
      <c r="L16" s="6"/>
      <c r="M16" s="7" t="s">
        <v>1194</v>
      </c>
      <c r="N16" s="24">
        <v>-979</v>
      </c>
    </row>
    <row r="17" spans="1:14" x14ac:dyDescent="0.25">
      <c r="A17" s="94">
        <v>2503</v>
      </c>
      <c r="B17" s="95">
        <v>2671</v>
      </c>
      <c r="C17" s="76" t="s">
        <v>252</v>
      </c>
      <c r="D17" s="79">
        <v>1539.5</v>
      </c>
      <c r="F17" s="5"/>
      <c r="G17" s="6"/>
      <c r="H17" s="7"/>
      <c r="I17" s="24"/>
      <c r="K17" s="94">
        <v>411</v>
      </c>
      <c r="L17" s="95"/>
      <c r="M17" s="76" t="s">
        <v>1585</v>
      </c>
      <c r="N17" s="203">
        <v>-1875.65</v>
      </c>
    </row>
    <row r="18" spans="1:14" x14ac:dyDescent="0.25">
      <c r="A18" s="94">
        <v>2803</v>
      </c>
      <c r="B18" s="70"/>
      <c r="C18" s="10" t="s">
        <v>1195</v>
      </c>
      <c r="D18" s="23">
        <f>849.92+172.9+849.92+172.9+849.92+138.32</f>
        <v>3033.88</v>
      </c>
      <c r="F18" s="5"/>
      <c r="G18" s="6"/>
      <c r="H18" s="7"/>
      <c r="I18" s="24"/>
      <c r="K18" s="94">
        <v>411</v>
      </c>
      <c r="L18" s="95">
        <v>14983</v>
      </c>
      <c r="M18" s="76" t="s">
        <v>579</v>
      </c>
      <c r="N18" s="203">
        <v>1875.65</v>
      </c>
    </row>
    <row r="19" spans="1:14" x14ac:dyDescent="0.25">
      <c r="A19" s="5">
        <v>43581</v>
      </c>
      <c r="B19" s="10"/>
      <c r="C19" s="10" t="s">
        <v>1196</v>
      </c>
      <c r="D19" s="23">
        <v>20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43581</v>
      </c>
      <c r="B20" s="10"/>
      <c r="C20" s="10" t="s">
        <v>1197</v>
      </c>
      <c r="D20" s="23">
        <v>260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43581</v>
      </c>
      <c r="B21" s="10"/>
      <c r="C21" s="10" t="s">
        <v>1198</v>
      </c>
      <c r="D21" s="23">
        <v>50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43581</v>
      </c>
      <c r="B22" s="10"/>
      <c r="C22" s="10" t="s">
        <v>1199</v>
      </c>
      <c r="D22" s="23">
        <v>50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94">
        <v>605</v>
      </c>
      <c r="B23" s="95">
        <v>4503</v>
      </c>
      <c r="C23" s="76" t="s">
        <v>335</v>
      </c>
      <c r="D23" s="79">
        <v>1244.47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94">
        <v>605</v>
      </c>
      <c r="B24" s="95">
        <v>4505</v>
      </c>
      <c r="C24" s="76" t="s">
        <v>336</v>
      </c>
      <c r="D24" s="79">
        <v>163.91999999999996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94">
        <v>605</v>
      </c>
      <c r="B25" s="95">
        <v>4506</v>
      </c>
      <c r="C25" s="76" t="s">
        <v>335</v>
      </c>
      <c r="D25" s="79">
        <v>312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94">
        <v>605</v>
      </c>
      <c r="B26" s="95">
        <v>4508</v>
      </c>
      <c r="C26" s="76" t="s">
        <v>336</v>
      </c>
      <c r="D26" s="79">
        <v>144.19999999999996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94">
        <v>605</v>
      </c>
      <c r="B27" s="95">
        <v>4509</v>
      </c>
      <c r="C27" s="76" t="s">
        <v>337</v>
      </c>
      <c r="D27" s="79">
        <v>479.97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94">
        <v>605</v>
      </c>
      <c r="B28" s="95">
        <v>4510</v>
      </c>
      <c r="C28" s="76" t="s">
        <v>336</v>
      </c>
      <c r="D28" s="79">
        <v>1110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94">
        <v>605</v>
      </c>
      <c r="B29" s="95">
        <v>4511</v>
      </c>
      <c r="C29" s="76" t="s">
        <v>338</v>
      </c>
      <c r="D29" s="79">
        <v>161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94">
        <v>605</v>
      </c>
      <c r="B30" s="95">
        <v>4512</v>
      </c>
      <c r="C30" s="76" t="s">
        <v>336</v>
      </c>
      <c r="D30" s="79">
        <v>1431.38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94">
        <v>605</v>
      </c>
      <c r="B31" s="95">
        <v>4515</v>
      </c>
      <c r="C31" s="76" t="s">
        <v>335</v>
      </c>
      <c r="D31" s="79">
        <v>100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94">
        <v>905</v>
      </c>
      <c r="B32" s="95">
        <v>4689</v>
      </c>
      <c r="C32" s="76" t="s">
        <v>339</v>
      </c>
      <c r="D32" s="79">
        <v>1532.14</v>
      </c>
      <c r="F32" s="5"/>
      <c r="G32" s="6"/>
      <c r="H32" s="7"/>
      <c r="I32" s="24"/>
      <c r="K32" s="8"/>
      <c r="L32" s="6"/>
      <c r="M32" s="7"/>
      <c r="N32" s="24"/>
    </row>
    <row r="33" spans="1:4" x14ac:dyDescent="0.25">
      <c r="A33" s="94">
        <v>905</v>
      </c>
      <c r="B33" s="95">
        <v>4691</v>
      </c>
      <c r="C33" s="76" t="s">
        <v>339</v>
      </c>
      <c r="D33" s="79">
        <v>806.1</v>
      </c>
    </row>
    <row r="34" spans="1:4" x14ac:dyDescent="0.25">
      <c r="A34" s="94">
        <v>306</v>
      </c>
      <c r="B34" s="71"/>
      <c r="C34" s="10" t="s">
        <v>1200</v>
      </c>
      <c r="D34" s="23">
        <f>131.83+197.75</f>
        <v>329.58000000000004</v>
      </c>
    </row>
    <row r="35" spans="1:4" x14ac:dyDescent="0.25">
      <c r="A35" s="94">
        <v>1706</v>
      </c>
      <c r="B35" s="71" t="s">
        <v>1201</v>
      </c>
      <c r="C35" s="76" t="s">
        <v>1202</v>
      </c>
      <c r="D35" s="23">
        <v>30</v>
      </c>
    </row>
    <row r="36" spans="1:4" x14ac:dyDescent="0.25">
      <c r="A36" s="94">
        <v>1706</v>
      </c>
      <c r="B36" s="71" t="s">
        <v>1203</v>
      </c>
      <c r="C36" s="76" t="s">
        <v>1204</v>
      </c>
      <c r="D36" s="23">
        <v>33</v>
      </c>
    </row>
    <row r="37" spans="1:4" x14ac:dyDescent="0.25">
      <c r="A37" s="5">
        <v>43676</v>
      </c>
      <c r="B37" s="95">
        <v>9617</v>
      </c>
      <c r="C37" s="7" t="s">
        <v>1205</v>
      </c>
      <c r="D37" s="23">
        <v>765.77</v>
      </c>
    </row>
    <row r="38" spans="1:4" x14ac:dyDescent="0.25">
      <c r="A38" s="94">
        <v>608</v>
      </c>
      <c r="B38" s="71" t="s">
        <v>1206</v>
      </c>
      <c r="C38" s="76" t="s">
        <v>1207</v>
      </c>
      <c r="D38" s="23">
        <v>420</v>
      </c>
    </row>
    <row r="39" spans="1:4" x14ac:dyDescent="0.25">
      <c r="A39" s="5">
        <v>43685</v>
      </c>
      <c r="B39" s="95">
        <v>10096</v>
      </c>
      <c r="C39" s="7" t="s">
        <v>1208</v>
      </c>
      <c r="D39" s="23">
        <v>77.84</v>
      </c>
    </row>
    <row r="40" spans="1:4" x14ac:dyDescent="0.25">
      <c r="A40" s="5">
        <v>43685</v>
      </c>
      <c r="B40" s="10"/>
      <c r="C40" s="7" t="s">
        <v>1088</v>
      </c>
      <c r="D40" s="23">
        <v>-695.5</v>
      </c>
    </row>
    <row r="41" spans="1:4" x14ac:dyDescent="0.25">
      <c r="A41" s="5">
        <v>43686</v>
      </c>
      <c r="B41" s="95">
        <v>9085</v>
      </c>
      <c r="C41" s="76" t="s">
        <v>465</v>
      </c>
      <c r="D41" s="79">
        <v>772</v>
      </c>
    </row>
    <row r="42" spans="1:4" x14ac:dyDescent="0.25">
      <c r="A42" s="5">
        <v>43689</v>
      </c>
      <c r="B42" s="95">
        <v>10211</v>
      </c>
      <c r="C42" s="7" t="s">
        <v>1209</v>
      </c>
      <c r="D42" s="23">
        <v>68.319999999999993</v>
      </c>
    </row>
    <row r="43" spans="1:4" x14ac:dyDescent="0.25">
      <c r="A43" s="68">
        <v>1408</v>
      </c>
      <c r="B43" s="71"/>
      <c r="C43" s="10" t="s">
        <v>1210</v>
      </c>
      <c r="D43" s="23">
        <v>20</v>
      </c>
    </row>
    <row r="44" spans="1:4" x14ac:dyDescent="0.25">
      <c r="A44" s="68">
        <v>1408</v>
      </c>
      <c r="B44" s="71"/>
      <c r="C44" s="10" t="s">
        <v>1211</v>
      </c>
      <c r="D44" s="23">
        <v>50</v>
      </c>
    </row>
    <row r="45" spans="1:4" x14ac:dyDescent="0.25">
      <c r="A45" s="68">
        <v>1408</v>
      </c>
      <c r="B45" s="71"/>
      <c r="C45" s="10" t="s">
        <v>1212</v>
      </c>
      <c r="D45" s="23">
        <v>40</v>
      </c>
    </row>
    <row r="46" spans="1:4" x14ac:dyDescent="0.25">
      <c r="A46" s="68">
        <v>1408</v>
      </c>
      <c r="B46" s="71"/>
      <c r="C46" s="10" t="s">
        <v>1213</v>
      </c>
      <c r="D46" s="23">
        <f>15+35</f>
        <v>50</v>
      </c>
    </row>
    <row r="47" spans="1:4" x14ac:dyDescent="0.25">
      <c r="A47" s="68">
        <v>1408</v>
      </c>
      <c r="B47" s="71"/>
      <c r="C47" s="10" t="s">
        <v>1214</v>
      </c>
      <c r="D47" s="23">
        <v>5</v>
      </c>
    </row>
    <row r="48" spans="1:4" x14ac:dyDescent="0.25">
      <c r="A48" s="5">
        <v>43696</v>
      </c>
      <c r="B48" s="95">
        <v>10542</v>
      </c>
      <c r="C48" s="7" t="s">
        <v>1215</v>
      </c>
      <c r="D48" s="23">
        <v>237.02</v>
      </c>
    </row>
    <row r="49" spans="1:4" x14ac:dyDescent="0.25">
      <c r="A49" s="5">
        <v>43696</v>
      </c>
      <c r="B49" s="95">
        <v>10393</v>
      </c>
      <c r="C49" s="7" t="s">
        <v>1216</v>
      </c>
      <c r="D49" s="23">
        <v>17.66</v>
      </c>
    </row>
    <row r="50" spans="1:4" x14ac:dyDescent="0.25">
      <c r="A50" s="5">
        <v>43696</v>
      </c>
      <c r="B50" s="95">
        <v>10519</v>
      </c>
      <c r="C50" s="7" t="s">
        <v>1217</v>
      </c>
      <c r="D50" s="23">
        <v>55.09</v>
      </c>
    </row>
    <row r="51" spans="1:4" x14ac:dyDescent="0.25">
      <c r="A51" s="5">
        <v>43696</v>
      </c>
      <c r="B51" s="95">
        <v>10553</v>
      </c>
      <c r="C51" s="7" t="s">
        <v>1218</v>
      </c>
      <c r="D51" s="23">
        <v>4.29</v>
      </c>
    </row>
    <row r="52" spans="1:4" x14ac:dyDescent="0.25">
      <c r="A52" s="5">
        <v>43698</v>
      </c>
      <c r="B52" s="95">
        <v>10726</v>
      </c>
      <c r="C52" s="7" t="s">
        <v>1216</v>
      </c>
      <c r="D52" s="23">
        <v>152.41999999999996</v>
      </c>
    </row>
    <row r="53" spans="1:4" x14ac:dyDescent="0.25">
      <c r="A53" s="5">
        <v>43699</v>
      </c>
      <c r="B53" s="95">
        <v>10641</v>
      </c>
      <c r="C53" s="7" t="s">
        <v>1217</v>
      </c>
      <c r="D53" s="23">
        <v>11.45</v>
      </c>
    </row>
    <row r="54" spans="1:4" x14ac:dyDescent="0.25">
      <c r="A54" s="5">
        <v>43699</v>
      </c>
      <c r="B54" s="95">
        <v>10840</v>
      </c>
      <c r="C54" s="7" t="s">
        <v>1219</v>
      </c>
      <c r="D54" s="23">
        <v>11.45</v>
      </c>
    </row>
    <row r="55" spans="1:4" x14ac:dyDescent="0.25">
      <c r="A55" s="5">
        <v>43699</v>
      </c>
      <c r="B55" s="95">
        <v>10841</v>
      </c>
      <c r="C55" s="7" t="s">
        <v>1219</v>
      </c>
      <c r="D55" s="23">
        <v>33.67</v>
      </c>
    </row>
    <row r="56" spans="1:4" x14ac:dyDescent="0.25">
      <c r="A56" s="5">
        <v>43703</v>
      </c>
      <c r="B56" s="95">
        <v>10991</v>
      </c>
      <c r="C56" s="7" t="s">
        <v>1218</v>
      </c>
      <c r="D56" s="23">
        <v>69.430000000000007</v>
      </c>
    </row>
    <row r="57" spans="1:4" x14ac:dyDescent="0.25">
      <c r="A57" s="5">
        <v>43706</v>
      </c>
      <c r="B57" s="95">
        <v>11156</v>
      </c>
      <c r="C57" s="7" t="s">
        <v>1218</v>
      </c>
      <c r="D57" s="23">
        <v>183.36</v>
      </c>
    </row>
    <row r="58" spans="1:4" x14ac:dyDescent="0.25">
      <c r="A58" s="5">
        <v>43707</v>
      </c>
      <c r="B58" s="95">
        <v>11229</v>
      </c>
      <c r="C58" s="7" t="s">
        <v>1219</v>
      </c>
      <c r="D58" s="23">
        <v>34.11</v>
      </c>
    </row>
    <row r="59" spans="1:4" x14ac:dyDescent="0.25">
      <c r="A59" s="5">
        <v>43712</v>
      </c>
      <c r="B59" s="95">
        <v>10727</v>
      </c>
      <c r="C59" s="76" t="s">
        <v>483</v>
      </c>
      <c r="D59" s="79">
        <v>2309.25</v>
      </c>
    </row>
    <row r="60" spans="1:4" x14ac:dyDescent="0.25">
      <c r="A60" s="5">
        <v>43713</v>
      </c>
      <c r="B60" s="95">
        <v>11478</v>
      </c>
      <c r="C60" s="7" t="s">
        <v>1217</v>
      </c>
      <c r="D60" s="23">
        <v>25.01</v>
      </c>
    </row>
    <row r="61" spans="1:4" x14ac:dyDescent="0.25">
      <c r="A61" s="5">
        <v>43713</v>
      </c>
      <c r="B61" s="95">
        <v>11508</v>
      </c>
      <c r="C61" s="7" t="s">
        <v>1217</v>
      </c>
      <c r="D61" s="23">
        <v>19.05</v>
      </c>
    </row>
    <row r="62" spans="1:4" x14ac:dyDescent="0.25">
      <c r="A62" s="5">
        <v>43713</v>
      </c>
      <c r="B62" s="95">
        <v>11704</v>
      </c>
      <c r="C62" s="7" t="s">
        <v>1217</v>
      </c>
      <c r="D62" s="23">
        <v>11.45</v>
      </c>
    </row>
    <row r="63" spans="1:4" x14ac:dyDescent="0.25">
      <c r="A63" s="5">
        <v>43720</v>
      </c>
      <c r="B63" s="95">
        <v>11879</v>
      </c>
      <c r="C63" s="7" t="s">
        <v>1217</v>
      </c>
      <c r="D63" s="23">
        <v>38.299999999999997</v>
      </c>
    </row>
    <row r="64" spans="1:4" x14ac:dyDescent="0.25">
      <c r="A64" s="5">
        <v>43720</v>
      </c>
      <c r="B64" s="95">
        <v>11886</v>
      </c>
      <c r="C64" s="7" t="s">
        <v>1219</v>
      </c>
      <c r="D64" s="23">
        <v>317.76</v>
      </c>
    </row>
    <row r="65" spans="1:4" x14ac:dyDescent="0.25">
      <c r="A65" s="5">
        <v>43724</v>
      </c>
      <c r="B65" s="95">
        <v>12012</v>
      </c>
      <c r="C65" s="7" t="s">
        <v>1219</v>
      </c>
      <c r="D65" s="23">
        <v>22.9</v>
      </c>
    </row>
    <row r="66" spans="1:4" x14ac:dyDescent="0.25">
      <c r="A66" s="5">
        <v>43724</v>
      </c>
      <c r="B66" s="95">
        <v>12014</v>
      </c>
      <c r="C66" s="7" t="s">
        <v>1219</v>
      </c>
      <c r="D66" s="23">
        <v>35.71</v>
      </c>
    </row>
    <row r="67" spans="1:4" x14ac:dyDescent="0.25">
      <c r="A67" s="5">
        <v>43724</v>
      </c>
      <c r="B67" s="95">
        <v>11947</v>
      </c>
      <c r="C67" s="7" t="s">
        <v>1219</v>
      </c>
      <c r="D67" s="23">
        <v>37.03</v>
      </c>
    </row>
    <row r="68" spans="1:4" x14ac:dyDescent="0.25">
      <c r="A68" s="5">
        <v>43725</v>
      </c>
      <c r="B68" s="95">
        <v>12134</v>
      </c>
      <c r="C68" s="7" t="s">
        <v>1216</v>
      </c>
      <c r="D68" s="23">
        <v>45.8</v>
      </c>
    </row>
    <row r="69" spans="1:4" x14ac:dyDescent="0.25">
      <c r="A69" s="5">
        <v>43725</v>
      </c>
      <c r="B69" s="95">
        <v>12135</v>
      </c>
      <c r="C69" s="7" t="s">
        <v>1216</v>
      </c>
      <c r="D69" s="23">
        <v>309.93</v>
      </c>
    </row>
    <row r="70" spans="1:4" x14ac:dyDescent="0.25">
      <c r="A70" s="94">
        <v>1809</v>
      </c>
      <c r="B70" s="95">
        <v>11723</v>
      </c>
      <c r="C70" s="76" t="s">
        <v>508</v>
      </c>
      <c r="D70" s="79">
        <v>628.4</v>
      </c>
    </row>
    <row r="71" spans="1:4" x14ac:dyDescent="0.25">
      <c r="A71" s="94">
        <v>1809</v>
      </c>
      <c r="B71" s="95">
        <v>11724</v>
      </c>
      <c r="C71" s="76" t="s">
        <v>508</v>
      </c>
      <c r="D71" s="79">
        <v>32</v>
      </c>
    </row>
    <row r="72" spans="1:4" x14ac:dyDescent="0.25">
      <c r="A72" s="94">
        <v>1809</v>
      </c>
      <c r="B72" s="95">
        <v>11725</v>
      </c>
      <c r="C72" s="76" t="s">
        <v>509</v>
      </c>
      <c r="D72" s="79">
        <v>739.96</v>
      </c>
    </row>
    <row r="73" spans="1:4" x14ac:dyDescent="0.25">
      <c r="A73" s="94">
        <v>1809</v>
      </c>
      <c r="B73" s="95">
        <v>11726</v>
      </c>
      <c r="C73" s="76" t="s">
        <v>510</v>
      </c>
      <c r="D73" s="79">
        <v>23.08</v>
      </c>
    </row>
    <row r="74" spans="1:4" x14ac:dyDescent="0.25">
      <c r="A74" s="94">
        <v>1809</v>
      </c>
      <c r="B74" s="95">
        <v>11727</v>
      </c>
      <c r="C74" s="76" t="s">
        <v>509</v>
      </c>
      <c r="D74" s="79">
        <v>154</v>
      </c>
    </row>
    <row r="75" spans="1:4" x14ac:dyDescent="0.25">
      <c r="A75" s="94">
        <v>1809</v>
      </c>
      <c r="B75" s="95">
        <v>11728</v>
      </c>
      <c r="C75" s="76" t="s">
        <v>508</v>
      </c>
      <c r="D75" s="79">
        <v>1122</v>
      </c>
    </row>
    <row r="76" spans="1:4" x14ac:dyDescent="0.25">
      <c r="A76" s="5">
        <v>43731</v>
      </c>
      <c r="B76" s="95"/>
      <c r="C76" s="7" t="s">
        <v>710</v>
      </c>
      <c r="D76" s="23">
        <v>4460</v>
      </c>
    </row>
    <row r="77" spans="1:4" x14ac:dyDescent="0.25">
      <c r="A77" s="94">
        <v>2409</v>
      </c>
      <c r="B77" s="95">
        <v>11914</v>
      </c>
      <c r="C77" s="76" t="s">
        <v>520</v>
      </c>
      <c r="D77" s="79">
        <v>118.76</v>
      </c>
    </row>
    <row r="78" spans="1:4" x14ac:dyDescent="0.25">
      <c r="A78" s="94">
        <v>2409</v>
      </c>
      <c r="B78" s="95">
        <v>11917</v>
      </c>
      <c r="C78" s="76" t="s">
        <v>520</v>
      </c>
      <c r="D78" s="79">
        <v>459.8</v>
      </c>
    </row>
    <row r="79" spans="1:4" x14ac:dyDescent="0.25">
      <c r="A79" s="94">
        <v>2409</v>
      </c>
      <c r="B79" s="95">
        <v>11919</v>
      </c>
      <c r="C79" s="76" t="s">
        <v>520</v>
      </c>
      <c r="D79" s="79">
        <v>26.25</v>
      </c>
    </row>
    <row r="80" spans="1:4" x14ac:dyDescent="0.25">
      <c r="A80" s="94">
        <v>2409</v>
      </c>
      <c r="B80" s="95">
        <v>11920</v>
      </c>
      <c r="C80" s="76" t="s">
        <v>520</v>
      </c>
      <c r="D80" s="79">
        <v>18</v>
      </c>
    </row>
    <row r="81" spans="1:4" x14ac:dyDescent="0.25">
      <c r="A81" s="94">
        <v>2409</v>
      </c>
      <c r="B81" s="95">
        <v>11921</v>
      </c>
      <c r="C81" s="76" t="s">
        <v>520</v>
      </c>
      <c r="D81" s="79">
        <v>98</v>
      </c>
    </row>
    <row r="82" spans="1:4" x14ac:dyDescent="0.25">
      <c r="A82" s="94">
        <v>2409</v>
      </c>
      <c r="B82" s="95">
        <v>11923</v>
      </c>
      <c r="C82" s="76" t="s">
        <v>520</v>
      </c>
      <c r="D82" s="79">
        <v>35.67</v>
      </c>
    </row>
    <row r="83" spans="1:4" x14ac:dyDescent="0.25">
      <c r="A83" s="94">
        <v>2409</v>
      </c>
      <c r="B83" s="95">
        <v>11924</v>
      </c>
      <c r="C83" s="76" t="s">
        <v>522</v>
      </c>
      <c r="D83" s="79">
        <v>635.5</v>
      </c>
    </row>
    <row r="84" spans="1:4" x14ac:dyDescent="0.25">
      <c r="A84" s="94">
        <v>2409</v>
      </c>
      <c r="B84" s="95">
        <v>11926</v>
      </c>
      <c r="C84" s="76" t="s">
        <v>523</v>
      </c>
      <c r="D84" s="79">
        <v>175.19999999999996</v>
      </c>
    </row>
    <row r="85" spans="1:4" x14ac:dyDescent="0.25">
      <c r="A85" s="94">
        <v>2409</v>
      </c>
      <c r="B85" s="95">
        <v>11927</v>
      </c>
      <c r="C85" s="76" t="s">
        <v>522</v>
      </c>
      <c r="D85" s="79">
        <v>114</v>
      </c>
    </row>
    <row r="86" spans="1:4" x14ac:dyDescent="0.25">
      <c r="A86" s="94">
        <v>2609</v>
      </c>
      <c r="B86" s="95">
        <v>12136</v>
      </c>
      <c r="C86" s="76" t="s">
        <v>522</v>
      </c>
      <c r="D86" s="79">
        <v>710.2</v>
      </c>
    </row>
    <row r="87" spans="1:4" x14ac:dyDescent="0.25">
      <c r="A87" s="94">
        <v>2609</v>
      </c>
      <c r="B87" s="95">
        <v>12138</v>
      </c>
      <c r="C87" s="76" t="s">
        <v>522</v>
      </c>
      <c r="D87" s="79">
        <v>21.25</v>
      </c>
    </row>
    <row r="88" spans="1:4" x14ac:dyDescent="0.25">
      <c r="A88" s="94">
        <v>2609</v>
      </c>
      <c r="B88" s="95">
        <v>12139</v>
      </c>
      <c r="C88" s="76" t="s">
        <v>522</v>
      </c>
      <c r="D88" s="79">
        <v>70.680000000000007</v>
      </c>
    </row>
    <row r="89" spans="1:4" x14ac:dyDescent="0.25">
      <c r="A89" s="94">
        <v>2709</v>
      </c>
      <c r="B89" s="95">
        <v>12335</v>
      </c>
      <c r="C89" s="76" t="s">
        <v>527</v>
      </c>
      <c r="D89" s="79">
        <v>19.11</v>
      </c>
    </row>
    <row r="90" spans="1:4" x14ac:dyDescent="0.25">
      <c r="A90" s="94">
        <v>2709</v>
      </c>
      <c r="B90" s="95">
        <v>12337</v>
      </c>
      <c r="C90" s="76" t="s">
        <v>527</v>
      </c>
      <c r="D90" s="79">
        <v>13.25</v>
      </c>
    </row>
    <row r="91" spans="1:4" x14ac:dyDescent="0.25">
      <c r="A91" s="94">
        <v>2709</v>
      </c>
      <c r="B91" s="95">
        <v>12338</v>
      </c>
      <c r="C91" s="76" t="s">
        <v>528</v>
      </c>
      <c r="D91" s="79">
        <v>219</v>
      </c>
    </row>
    <row r="92" spans="1:4" x14ac:dyDescent="0.25">
      <c r="A92" s="94">
        <v>2709</v>
      </c>
      <c r="B92" s="95">
        <v>12340</v>
      </c>
      <c r="C92" s="76" t="s">
        <v>527</v>
      </c>
      <c r="D92" s="79">
        <v>56</v>
      </c>
    </row>
    <row r="93" spans="1:4" x14ac:dyDescent="0.25">
      <c r="A93" s="94">
        <v>2709</v>
      </c>
      <c r="B93" s="95">
        <v>12343</v>
      </c>
      <c r="C93" s="76" t="s">
        <v>528</v>
      </c>
      <c r="D93" s="79">
        <v>209.1</v>
      </c>
    </row>
    <row r="94" spans="1:4" x14ac:dyDescent="0.25">
      <c r="A94" s="94">
        <v>2709</v>
      </c>
      <c r="B94" s="95">
        <v>12348</v>
      </c>
      <c r="C94" s="76" t="s">
        <v>528</v>
      </c>
      <c r="D94" s="79">
        <v>437.82</v>
      </c>
    </row>
    <row r="95" spans="1:4" x14ac:dyDescent="0.25">
      <c r="A95" s="94">
        <v>2709</v>
      </c>
      <c r="B95" s="95">
        <v>12356</v>
      </c>
      <c r="C95" s="76" t="s">
        <v>527</v>
      </c>
      <c r="D95" s="79">
        <v>165.02</v>
      </c>
    </row>
    <row r="96" spans="1:4" x14ac:dyDescent="0.25">
      <c r="A96" s="94">
        <v>2709</v>
      </c>
      <c r="B96" s="95">
        <v>12362</v>
      </c>
      <c r="C96" s="76" t="s">
        <v>527</v>
      </c>
      <c r="D96" s="79">
        <v>450.56</v>
      </c>
    </row>
    <row r="97" spans="1:4" x14ac:dyDescent="0.25">
      <c r="A97" s="94">
        <v>2709</v>
      </c>
      <c r="B97" s="95">
        <v>12367</v>
      </c>
      <c r="C97" s="76" t="s">
        <v>527</v>
      </c>
      <c r="D97" s="79">
        <v>124.8</v>
      </c>
    </row>
    <row r="98" spans="1:4" x14ac:dyDescent="0.25">
      <c r="A98" s="94">
        <v>2709</v>
      </c>
      <c r="B98" s="95">
        <v>12372</v>
      </c>
      <c r="C98" s="76" t="s">
        <v>529</v>
      </c>
      <c r="D98" s="79">
        <v>530</v>
      </c>
    </row>
    <row r="99" spans="1:4" x14ac:dyDescent="0.25">
      <c r="A99" s="94">
        <v>2709</v>
      </c>
      <c r="B99" s="95">
        <v>12378</v>
      </c>
      <c r="C99" s="76" t="s">
        <v>528</v>
      </c>
      <c r="D99" s="79">
        <v>210</v>
      </c>
    </row>
    <row r="100" spans="1:4" x14ac:dyDescent="0.25">
      <c r="A100" s="94">
        <v>2709</v>
      </c>
      <c r="B100" s="95">
        <v>12381</v>
      </c>
      <c r="C100" s="76" t="s">
        <v>527</v>
      </c>
      <c r="D100" s="79">
        <v>299.74</v>
      </c>
    </row>
    <row r="101" spans="1:4" x14ac:dyDescent="0.25">
      <c r="A101" s="94">
        <v>2709</v>
      </c>
      <c r="B101" s="95">
        <v>12389</v>
      </c>
      <c r="C101" s="76" t="s">
        <v>531</v>
      </c>
      <c r="D101" s="79">
        <v>14.94</v>
      </c>
    </row>
    <row r="102" spans="1:4" x14ac:dyDescent="0.25">
      <c r="A102" s="94">
        <v>2709</v>
      </c>
      <c r="B102" s="95">
        <v>12440</v>
      </c>
      <c r="C102" s="76" t="s">
        <v>532</v>
      </c>
      <c r="D102" s="79">
        <v>123.6</v>
      </c>
    </row>
    <row r="103" spans="1:4" x14ac:dyDescent="0.25">
      <c r="A103" s="94">
        <v>2709</v>
      </c>
      <c r="B103" s="95">
        <v>12442</v>
      </c>
      <c r="C103" s="76" t="s">
        <v>532</v>
      </c>
      <c r="D103" s="79">
        <v>349.72</v>
      </c>
    </row>
    <row r="104" spans="1:4" x14ac:dyDescent="0.25">
      <c r="A104" s="94">
        <v>2709</v>
      </c>
      <c r="B104" s="95">
        <v>12444</v>
      </c>
      <c r="C104" s="76" t="s">
        <v>532</v>
      </c>
      <c r="D104" s="79">
        <v>150</v>
      </c>
    </row>
    <row r="105" spans="1:4" x14ac:dyDescent="0.25">
      <c r="A105" s="94">
        <v>2709</v>
      </c>
      <c r="B105" s="95">
        <v>12445</v>
      </c>
      <c r="C105" s="76" t="s">
        <v>533</v>
      </c>
      <c r="D105" s="79">
        <v>1145.54</v>
      </c>
    </row>
    <row r="106" spans="1:4" x14ac:dyDescent="0.25">
      <c r="A106" s="94">
        <v>2709</v>
      </c>
      <c r="B106" s="95">
        <v>12447</v>
      </c>
      <c r="C106" s="76" t="s">
        <v>532</v>
      </c>
      <c r="D106" s="79">
        <v>181.02</v>
      </c>
    </row>
    <row r="107" spans="1:4" x14ac:dyDescent="0.25">
      <c r="A107" s="94">
        <v>2709</v>
      </c>
      <c r="B107" s="95">
        <v>12449</v>
      </c>
      <c r="C107" s="76" t="s">
        <v>533</v>
      </c>
      <c r="D107" s="79">
        <v>579.88</v>
      </c>
    </row>
    <row r="108" spans="1:4" x14ac:dyDescent="0.25">
      <c r="A108" s="94">
        <v>2709</v>
      </c>
      <c r="B108" s="95">
        <v>12451</v>
      </c>
      <c r="C108" s="76" t="s">
        <v>533</v>
      </c>
      <c r="D108" s="79">
        <v>1896.66</v>
      </c>
    </row>
    <row r="109" spans="1:4" x14ac:dyDescent="0.25">
      <c r="A109" s="5">
        <v>43759</v>
      </c>
      <c r="B109" s="6"/>
      <c r="C109" s="7" t="s">
        <v>1220</v>
      </c>
      <c r="D109" s="79">
        <v>1837.92</v>
      </c>
    </row>
    <row r="110" spans="1:4" x14ac:dyDescent="0.25">
      <c r="A110" s="94">
        <v>411</v>
      </c>
      <c r="B110" s="95">
        <v>14908</v>
      </c>
      <c r="C110" s="76" t="s">
        <v>576</v>
      </c>
      <c r="D110" s="203">
        <v>999.98</v>
      </c>
    </row>
    <row r="111" spans="1:4" x14ac:dyDescent="0.25">
      <c r="A111" s="94">
        <v>411</v>
      </c>
      <c r="B111" s="95">
        <v>14911</v>
      </c>
      <c r="C111" s="76" t="s">
        <v>576</v>
      </c>
      <c r="D111" s="203">
        <v>88.92</v>
      </c>
    </row>
    <row r="112" spans="1:4" x14ac:dyDescent="0.25">
      <c r="A112" s="94">
        <v>411</v>
      </c>
      <c r="B112" s="95">
        <v>14913</v>
      </c>
      <c r="C112" s="76" t="s">
        <v>576</v>
      </c>
      <c r="D112" s="203">
        <v>230.95</v>
      </c>
    </row>
    <row r="113" spans="1:9" x14ac:dyDescent="0.25">
      <c r="A113" s="94">
        <v>411</v>
      </c>
      <c r="B113" s="95">
        <v>14915</v>
      </c>
      <c r="C113" s="76" t="s">
        <v>577</v>
      </c>
      <c r="D113" s="203">
        <v>984.86</v>
      </c>
    </row>
    <row r="114" spans="1:9" x14ac:dyDescent="0.25">
      <c r="A114" s="94">
        <v>411</v>
      </c>
      <c r="B114" s="95">
        <v>14918</v>
      </c>
      <c r="C114" s="76" t="s">
        <v>577</v>
      </c>
      <c r="D114" s="203">
        <v>250.97</v>
      </c>
    </row>
    <row r="115" spans="1:9" x14ac:dyDescent="0.25">
      <c r="A115" s="94">
        <v>411</v>
      </c>
      <c r="B115" s="95">
        <v>14922</v>
      </c>
      <c r="C115" s="76" t="s">
        <v>578</v>
      </c>
      <c r="D115" s="203">
        <v>469.02</v>
      </c>
    </row>
    <row r="116" spans="1:9" x14ac:dyDescent="0.25">
      <c r="A116" s="94">
        <v>411</v>
      </c>
      <c r="B116" s="95"/>
      <c r="C116" s="76" t="s">
        <v>1584</v>
      </c>
      <c r="D116" s="203">
        <v>-3024.7</v>
      </c>
    </row>
    <row r="117" spans="1:9" x14ac:dyDescent="0.25">
      <c r="C117" s="204"/>
      <c r="D117" s="205"/>
    </row>
    <row r="118" spans="1:9" x14ac:dyDescent="0.25">
      <c r="C118" s="204"/>
      <c r="D118" s="205"/>
    </row>
    <row r="119" spans="1:9" x14ac:dyDescent="0.25">
      <c r="C119" s="204"/>
      <c r="D119" s="205"/>
    </row>
    <row r="120" spans="1:9" x14ac:dyDescent="0.25">
      <c r="C120" s="204"/>
      <c r="D120" s="205"/>
    </row>
    <row r="121" spans="1:9" x14ac:dyDescent="0.25">
      <c r="D121" s="1"/>
    </row>
    <row r="122" spans="1:9" x14ac:dyDescent="0.25">
      <c r="B122" s="44"/>
      <c r="C122" s="45" t="s">
        <v>1221</v>
      </c>
      <c r="D122" s="23">
        <v>12000</v>
      </c>
      <c r="G122" s="5">
        <v>43713</v>
      </c>
      <c r="H122" s="10" t="s">
        <v>1222</v>
      </c>
      <c r="I122" s="23">
        <v>850</v>
      </c>
    </row>
    <row r="123" spans="1:9" x14ac:dyDescent="0.25">
      <c r="B123" s="94">
        <v>208</v>
      </c>
      <c r="C123" s="10" t="s">
        <v>1223</v>
      </c>
      <c r="D123" s="23">
        <v>-3845</v>
      </c>
      <c r="G123" s="10"/>
      <c r="H123" s="10"/>
      <c r="I123" s="10"/>
    </row>
    <row r="124" spans="1:9" x14ac:dyDescent="0.25">
      <c r="B124" s="94">
        <v>208</v>
      </c>
      <c r="C124" s="10" t="s">
        <v>1224</v>
      </c>
      <c r="D124" s="23">
        <v>-1734.95</v>
      </c>
      <c r="G124" s="10"/>
      <c r="H124" s="10"/>
      <c r="I124" s="10"/>
    </row>
    <row r="125" spans="1:9" x14ac:dyDescent="0.25">
      <c r="B125" s="5">
        <v>43697</v>
      </c>
      <c r="C125" s="10" t="s">
        <v>1225</v>
      </c>
      <c r="D125" s="23">
        <v>-120.56</v>
      </c>
      <c r="G125" s="10"/>
      <c r="H125" s="10"/>
      <c r="I125" s="10"/>
    </row>
    <row r="126" spans="1:9" x14ac:dyDescent="0.25">
      <c r="B126" s="5">
        <v>43713</v>
      </c>
      <c r="C126" s="10" t="s">
        <v>1226</v>
      </c>
      <c r="D126" s="23">
        <v>-850</v>
      </c>
      <c r="G126" s="10"/>
      <c r="H126" s="10"/>
      <c r="I126" s="10"/>
    </row>
    <row r="127" spans="1:9" x14ac:dyDescent="0.25">
      <c r="B127" s="5">
        <v>43714</v>
      </c>
      <c r="C127" s="7" t="s">
        <v>1227</v>
      </c>
      <c r="D127" s="24">
        <v>-611.16</v>
      </c>
      <c r="G127" s="10"/>
      <c r="H127" s="10"/>
      <c r="I127" s="10"/>
    </row>
    <row r="128" spans="1:9" x14ac:dyDescent="0.25">
      <c r="B128" s="5">
        <v>43734</v>
      </c>
      <c r="C128" s="7" t="s">
        <v>1228</v>
      </c>
      <c r="D128" s="24">
        <v>-2020</v>
      </c>
      <c r="G128" s="10"/>
      <c r="H128" s="10"/>
      <c r="I128" s="10"/>
    </row>
    <row r="129" spans="1:9" x14ac:dyDescent="0.25">
      <c r="B129" s="154">
        <v>43742</v>
      </c>
      <c r="C129" s="155" t="s">
        <v>1229</v>
      </c>
      <c r="D129" s="122">
        <v>-2400</v>
      </c>
      <c r="G129" s="10"/>
      <c r="H129" s="10"/>
      <c r="I129" s="10"/>
    </row>
    <row r="130" spans="1:9" x14ac:dyDescent="0.25">
      <c r="B130" s="5"/>
      <c r="C130" s="7"/>
      <c r="D130" s="24"/>
      <c r="G130" s="10"/>
      <c r="H130" s="10"/>
      <c r="I130" s="10"/>
    </row>
    <row r="131" spans="1:9" x14ac:dyDescent="0.25">
      <c r="B131" s="5"/>
      <c r="C131" s="7"/>
      <c r="D131" s="24"/>
      <c r="G131" s="10"/>
      <c r="H131" s="10"/>
      <c r="I131" s="10"/>
    </row>
    <row r="132" spans="1:9" x14ac:dyDescent="0.25">
      <c r="B132" s="5"/>
      <c r="C132" s="7"/>
      <c r="D132" s="24"/>
      <c r="G132" s="10"/>
      <c r="H132" s="10"/>
      <c r="I132" s="10"/>
    </row>
    <row r="133" spans="1:9" x14ac:dyDescent="0.25">
      <c r="B133" s="5"/>
      <c r="C133" s="7"/>
      <c r="D133" s="24"/>
      <c r="G133" s="10"/>
      <c r="H133" s="10"/>
      <c r="I133" s="10"/>
    </row>
    <row r="134" spans="1:9" x14ac:dyDescent="0.25">
      <c r="B134" s="5"/>
      <c r="C134" s="7"/>
      <c r="D134" s="24"/>
      <c r="G134" s="10"/>
      <c r="H134" s="10"/>
      <c r="I134" s="10"/>
    </row>
    <row r="135" spans="1:9" x14ac:dyDescent="0.25">
      <c r="B135" s="5"/>
      <c r="C135" s="7"/>
      <c r="D135" s="24"/>
      <c r="G135" s="10"/>
      <c r="H135" s="10"/>
      <c r="I135" s="10"/>
    </row>
    <row r="136" spans="1:9" x14ac:dyDescent="0.25">
      <c r="B136" s="5"/>
      <c r="C136" s="7"/>
      <c r="D136" s="24"/>
      <c r="G136" s="10"/>
      <c r="H136" s="10"/>
      <c r="I136" s="10"/>
    </row>
    <row r="137" spans="1:9" x14ac:dyDescent="0.25">
      <c r="B137" s="5"/>
      <c r="C137" s="7"/>
      <c r="D137" s="24"/>
      <c r="G137" s="10"/>
      <c r="H137" s="10"/>
      <c r="I137" s="10"/>
    </row>
    <row r="138" spans="1:9" x14ac:dyDescent="0.25">
      <c r="B138" s="44"/>
      <c r="C138" s="10"/>
      <c r="D138" s="23"/>
      <c r="G138" s="10"/>
      <c r="H138" s="10"/>
      <c r="I138" s="10"/>
    </row>
    <row r="139" spans="1:9" x14ac:dyDescent="0.25">
      <c r="B139" s="44"/>
      <c r="C139" s="10" t="s">
        <v>703</v>
      </c>
      <c r="D139" s="48">
        <f>SUM(D122:D138)</f>
        <v>418.32999999999993</v>
      </c>
      <c r="G139" s="10"/>
      <c r="H139" s="10"/>
      <c r="I139" s="48">
        <f>SUM(I122:I138)</f>
        <v>850</v>
      </c>
    </row>
    <row r="142" spans="1:9" x14ac:dyDescent="0.25">
      <c r="A142" s="232" t="s">
        <v>718</v>
      </c>
      <c r="B142" s="232"/>
      <c r="C142" s="232"/>
      <c r="D142" s="148">
        <f>D76</f>
        <v>4460</v>
      </c>
    </row>
    <row r="143" spans="1:9" x14ac:dyDescent="0.25">
      <c r="A143" s="5">
        <v>43731</v>
      </c>
      <c r="B143" s="95">
        <v>12183</v>
      </c>
      <c r="C143" s="7" t="s">
        <v>1217</v>
      </c>
      <c r="D143" s="23">
        <v>59.2</v>
      </c>
    </row>
    <row r="144" spans="1:9" x14ac:dyDescent="0.25">
      <c r="A144" s="5">
        <v>43731</v>
      </c>
      <c r="B144" s="95">
        <v>12307</v>
      </c>
      <c r="C144" s="7" t="s">
        <v>1217</v>
      </c>
      <c r="D144" s="23">
        <v>22.9</v>
      </c>
    </row>
    <row r="145" spans="1:4" x14ac:dyDescent="0.25">
      <c r="A145" s="5">
        <v>43731</v>
      </c>
      <c r="B145" s="95">
        <v>12308</v>
      </c>
      <c r="C145" s="7" t="s">
        <v>1218</v>
      </c>
      <c r="D145" s="23">
        <v>231.81</v>
      </c>
    </row>
    <row r="146" spans="1:4" x14ac:dyDescent="0.25">
      <c r="A146" s="5">
        <v>43731</v>
      </c>
      <c r="B146" s="95">
        <v>12345</v>
      </c>
      <c r="C146" s="7" t="s">
        <v>1219</v>
      </c>
      <c r="D146" s="23">
        <v>22.9</v>
      </c>
    </row>
    <row r="147" spans="1:4" x14ac:dyDescent="0.25">
      <c r="A147" s="5">
        <v>43733</v>
      </c>
      <c r="B147" s="147" t="s">
        <v>1230</v>
      </c>
      <c r="C147" s="7" t="s">
        <v>1218</v>
      </c>
      <c r="D147" s="23">
        <v>76.010000000000005</v>
      </c>
    </row>
    <row r="148" spans="1:4" x14ac:dyDescent="0.25">
      <c r="A148" s="5">
        <v>43735</v>
      </c>
      <c r="B148" s="95">
        <v>12612</v>
      </c>
      <c r="C148" s="7" t="s">
        <v>1217</v>
      </c>
      <c r="D148" s="23">
        <v>53.67</v>
      </c>
    </row>
    <row r="149" spans="1:4" x14ac:dyDescent="0.25">
      <c r="A149" s="5">
        <v>43739</v>
      </c>
      <c r="B149" s="95">
        <v>12801</v>
      </c>
      <c r="C149" s="7" t="s">
        <v>1216</v>
      </c>
      <c r="D149" s="23">
        <v>37.74</v>
      </c>
    </row>
    <row r="150" spans="1:4" x14ac:dyDescent="0.25">
      <c r="A150" s="5">
        <v>43742</v>
      </c>
      <c r="B150" s="95">
        <v>12878</v>
      </c>
      <c r="C150" s="7" t="s">
        <v>1217</v>
      </c>
      <c r="D150" s="23">
        <v>3.55</v>
      </c>
    </row>
    <row r="151" spans="1:4" x14ac:dyDescent="0.25">
      <c r="A151" s="5">
        <v>43742</v>
      </c>
      <c r="B151" s="95">
        <v>12890</v>
      </c>
      <c r="C151" s="7" t="s">
        <v>1231</v>
      </c>
      <c r="D151" s="23">
        <v>611.91</v>
      </c>
    </row>
    <row r="152" spans="1:4" x14ac:dyDescent="0.25">
      <c r="A152" s="5">
        <v>43752</v>
      </c>
      <c r="B152" s="95">
        <v>13223</v>
      </c>
      <c r="C152" s="7" t="s">
        <v>1216</v>
      </c>
      <c r="D152" s="23">
        <v>449.61</v>
      </c>
    </row>
    <row r="153" spans="1:4" x14ac:dyDescent="0.25">
      <c r="A153" s="5">
        <v>43753</v>
      </c>
      <c r="B153" s="95">
        <v>13447</v>
      </c>
      <c r="C153" s="7" t="s">
        <v>1219</v>
      </c>
      <c r="D153" s="23">
        <v>22.9</v>
      </c>
    </row>
    <row r="154" spans="1:4" x14ac:dyDescent="0.25">
      <c r="A154" s="5">
        <v>43754</v>
      </c>
      <c r="B154" s="95">
        <v>13461</v>
      </c>
      <c r="C154" s="7" t="s">
        <v>1232</v>
      </c>
      <c r="D154" s="23">
        <v>98.04</v>
      </c>
    </row>
    <row r="155" spans="1:4" x14ac:dyDescent="0.25">
      <c r="A155" s="5">
        <v>43754</v>
      </c>
      <c r="B155" s="95">
        <v>13492</v>
      </c>
      <c r="C155" s="7" t="s">
        <v>1216</v>
      </c>
      <c r="D155" s="23">
        <v>354.31</v>
      </c>
    </row>
    <row r="156" spans="1:4" x14ac:dyDescent="0.25">
      <c r="A156" s="5">
        <v>43755</v>
      </c>
      <c r="B156" s="95">
        <v>13547</v>
      </c>
      <c r="C156" s="7" t="s">
        <v>1218</v>
      </c>
      <c r="D156" s="23">
        <v>26</v>
      </c>
    </row>
    <row r="157" spans="1:4" x14ac:dyDescent="0.25">
      <c r="A157" s="5">
        <v>43759</v>
      </c>
      <c r="B157" s="95">
        <v>13694</v>
      </c>
      <c r="C157" s="7" t="s">
        <v>1232</v>
      </c>
      <c r="D157" s="23">
        <v>11.45</v>
      </c>
    </row>
    <row r="158" spans="1:4" x14ac:dyDescent="0.25">
      <c r="A158" s="5">
        <v>43768</v>
      </c>
      <c r="B158" s="95">
        <v>14099</v>
      </c>
      <c r="C158" s="7" t="s">
        <v>1232</v>
      </c>
      <c r="D158" s="23">
        <v>86.2</v>
      </c>
    </row>
    <row r="159" spans="1:4" x14ac:dyDescent="0.25">
      <c r="A159" s="5">
        <v>43768</v>
      </c>
      <c r="B159" s="95">
        <v>14123</v>
      </c>
      <c r="C159" s="7" t="s">
        <v>1232</v>
      </c>
      <c r="D159" s="23">
        <v>11.12</v>
      </c>
    </row>
    <row r="160" spans="1:4" x14ac:dyDescent="0.25">
      <c r="A160" s="5">
        <v>43770</v>
      </c>
      <c r="B160" s="95">
        <v>14266</v>
      </c>
      <c r="C160" s="7" t="s">
        <v>1205</v>
      </c>
      <c r="D160" s="23">
        <v>439.9</v>
      </c>
    </row>
    <row r="161" spans="1:4" x14ac:dyDescent="0.25">
      <c r="A161" s="5">
        <v>43739</v>
      </c>
      <c r="B161" s="95">
        <v>14293</v>
      </c>
      <c r="C161" s="7" t="s">
        <v>1219</v>
      </c>
      <c r="D161" s="23">
        <v>159</v>
      </c>
    </row>
    <row r="162" spans="1:4" x14ac:dyDescent="0.25">
      <c r="A162" s="5">
        <v>43773</v>
      </c>
      <c r="B162" s="95">
        <v>14363</v>
      </c>
      <c r="C162" s="7" t="s">
        <v>1216</v>
      </c>
      <c r="D162" s="23">
        <v>65.56</v>
      </c>
    </row>
    <row r="163" spans="1:4" x14ac:dyDescent="0.25">
      <c r="A163" s="5"/>
      <c r="B163" s="95"/>
      <c r="C163" s="7"/>
      <c r="D163" s="23"/>
    </row>
    <row r="164" spans="1:4" x14ac:dyDescent="0.25">
      <c r="A164" s="5"/>
      <c r="B164" s="95"/>
      <c r="C164" s="7"/>
      <c r="D164" s="23"/>
    </row>
    <row r="165" spans="1:4" x14ac:dyDescent="0.25">
      <c r="A165" s="151"/>
      <c r="B165" s="152"/>
      <c r="C165" s="151"/>
      <c r="D165" s="23"/>
    </row>
    <row r="166" spans="1:4" x14ac:dyDescent="0.25">
      <c r="A166" s="232" t="s">
        <v>703</v>
      </c>
      <c r="B166" s="232"/>
      <c r="C166" s="232"/>
      <c r="D166" s="148">
        <f>D142-SUM(D143:D165)</f>
        <v>1616.2200000000003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142:C142"/>
    <mergeCell ref="A166:C166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3.285156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676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Geral!D41</f>
        <v>4605.2888800000001</v>
      </c>
      <c r="F6" s="211" t="s">
        <v>687</v>
      </c>
      <c r="G6" s="212"/>
      <c r="H6" s="14" t="s">
        <v>582</v>
      </c>
      <c r="I6" s="24">
        <f>Geral!E41</f>
        <v>0</v>
      </c>
      <c r="K6" s="230" t="s">
        <v>688</v>
      </c>
      <c r="L6" s="230"/>
      <c r="M6" s="4" t="s">
        <v>582</v>
      </c>
      <c r="N6" s="24">
        <f>Geral!F41</f>
        <v>0</v>
      </c>
    </row>
    <row r="7" spans="1:14" ht="15" customHeight="1" x14ac:dyDescent="0.25">
      <c r="A7" s="230"/>
      <c r="B7" s="230"/>
      <c r="C7" s="3" t="s">
        <v>583</v>
      </c>
      <c r="D7" s="24">
        <f>SUM(D10:D32)</f>
        <v>4605.29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-1.1199999999007559E-3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43521</v>
      </c>
      <c r="B10" s="6" t="s">
        <v>1233</v>
      </c>
      <c r="C10" s="7" t="s">
        <v>1234</v>
      </c>
      <c r="D10" s="24">
        <v>469.15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43572</v>
      </c>
      <c r="B11" s="6" t="s">
        <v>1235</v>
      </c>
      <c r="C11" s="7" t="s">
        <v>1236</v>
      </c>
      <c r="D11" s="24">
        <v>210.78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43642</v>
      </c>
      <c r="B12" s="6" t="s">
        <v>1237</v>
      </c>
      <c r="C12" s="76" t="s">
        <v>1238</v>
      </c>
      <c r="D12" s="79">
        <v>897.75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43648</v>
      </c>
      <c r="B13" s="6" t="s">
        <v>1239</v>
      </c>
      <c r="C13" s="7" t="s">
        <v>1240</v>
      </c>
      <c r="D13" s="24">
        <v>280.45999999999998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43696</v>
      </c>
      <c r="B14" s="6" t="s">
        <v>1241</v>
      </c>
      <c r="C14" s="7" t="s">
        <v>1236</v>
      </c>
      <c r="D14" s="24">
        <v>90.52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43698</v>
      </c>
      <c r="B15" s="6"/>
      <c r="C15" s="7" t="s">
        <v>1242</v>
      </c>
      <c r="D15" s="24">
        <v>22.5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43726</v>
      </c>
      <c r="B16" s="71"/>
      <c r="C16" s="10" t="s">
        <v>1243</v>
      </c>
      <c r="D16" s="23">
        <v>2634.13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/>
      <c r="B17" s="6"/>
      <c r="C17" s="7"/>
      <c r="D17" s="24"/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workbookViewId="0">
      <selection activeCell="A5" sqref="A5:B5"/>
    </sheetView>
  </sheetViews>
  <sheetFormatPr defaultRowHeight="15" x14ac:dyDescent="0.25"/>
  <cols>
    <col min="1" max="1" width="12.5703125" customWidth="1"/>
    <col min="2" max="2" width="14.140625" customWidth="1"/>
    <col min="3" max="3" width="99.5703125" customWidth="1"/>
    <col min="4" max="4" width="14.28515625" customWidth="1"/>
    <col min="5" max="5" width="3.5703125" customWidth="1"/>
    <col min="6" max="6" width="11.5703125" customWidth="1"/>
    <col min="7" max="7" width="15.5703125" customWidth="1"/>
    <col min="8" max="8" width="67.5703125" customWidth="1"/>
    <col min="9" max="9" width="13.28515625" customWidth="1"/>
    <col min="10" max="10" width="3.140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1244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Geral!D43</f>
        <v>201481.38849999997</v>
      </c>
      <c r="F6" s="211" t="s">
        <v>687</v>
      </c>
      <c r="G6" s="212"/>
      <c r="H6" s="14" t="s">
        <v>582</v>
      </c>
      <c r="I6" s="24">
        <f>Geral!E43</f>
        <v>6674.4530000000004</v>
      </c>
      <c r="K6" s="230" t="s">
        <v>688</v>
      </c>
      <c r="L6" s="230"/>
      <c r="M6" s="4" t="s">
        <v>582</v>
      </c>
      <c r="N6" s="24">
        <f>Geral!F43</f>
        <v>35092.05000000001</v>
      </c>
    </row>
    <row r="7" spans="1:14" ht="15" customHeight="1" x14ac:dyDescent="0.25">
      <c r="A7" s="230"/>
      <c r="B7" s="230"/>
      <c r="C7" s="3" t="s">
        <v>583</v>
      </c>
      <c r="D7" s="24">
        <f>SUM(D10:D374)</f>
        <v>186042.6499999997</v>
      </c>
      <c r="F7" s="213"/>
      <c r="G7" s="214"/>
      <c r="H7" s="14" t="s">
        <v>583</v>
      </c>
      <c r="I7" s="24">
        <f>SUM(I10:I60)</f>
        <v>5363.9699999999984</v>
      </c>
      <c r="K7" s="230"/>
      <c r="L7" s="230"/>
      <c r="M7" s="4" t="s">
        <v>583</v>
      </c>
      <c r="N7" s="24">
        <f>SUM(N10:N58)</f>
        <v>34944.480000000018</v>
      </c>
    </row>
    <row r="8" spans="1:14" ht="15" customHeight="1" x14ac:dyDescent="0.25">
      <c r="A8" s="230"/>
      <c r="B8" s="230"/>
      <c r="C8" s="3" t="s">
        <v>584</v>
      </c>
      <c r="D8" s="24">
        <f>D6-D7</f>
        <v>15438.738500000269</v>
      </c>
      <c r="F8" s="215"/>
      <c r="G8" s="216"/>
      <c r="H8" s="14" t="s">
        <v>584</v>
      </c>
      <c r="I8" s="24">
        <f>I6-I7</f>
        <v>1310.483000000002</v>
      </c>
      <c r="K8" s="230"/>
      <c r="L8" s="230"/>
      <c r="M8" s="4" t="s">
        <v>584</v>
      </c>
      <c r="N8" s="24">
        <f>N6-N7</f>
        <v>147.56999999999243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94">
        <v>2101</v>
      </c>
      <c r="B10" s="95">
        <v>315</v>
      </c>
      <c r="C10" s="76" t="s">
        <v>130</v>
      </c>
      <c r="D10" s="79">
        <v>350</v>
      </c>
      <c r="F10" s="5">
        <v>43510</v>
      </c>
      <c r="G10" s="15"/>
      <c r="H10" s="7" t="s">
        <v>1245</v>
      </c>
      <c r="I10" s="24">
        <f>192.3*0.7</f>
        <v>134.60999999999999</v>
      </c>
      <c r="K10" s="94">
        <v>2602</v>
      </c>
      <c r="L10" s="71"/>
      <c r="M10" s="7" t="s">
        <v>1246</v>
      </c>
      <c r="N10" s="23">
        <v>-1200</v>
      </c>
    </row>
    <row r="11" spans="1:14" x14ac:dyDescent="0.25">
      <c r="A11" s="94">
        <v>2101</v>
      </c>
      <c r="B11" s="95">
        <v>319</v>
      </c>
      <c r="C11" s="76" t="s">
        <v>132</v>
      </c>
      <c r="D11" s="79">
        <v>37.5</v>
      </c>
      <c r="F11" s="5">
        <v>43510</v>
      </c>
      <c r="G11" s="6"/>
      <c r="H11" s="7" t="s">
        <v>1247</v>
      </c>
      <c r="I11" s="24">
        <f>188.65*0.7</f>
        <v>132.05500000000001</v>
      </c>
      <c r="K11" s="94">
        <v>2702</v>
      </c>
      <c r="L11" s="95">
        <v>1710</v>
      </c>
      <c r="M11" s="76" t="s">
        <v>1248</v>
      </c>
      <c r="N11" s="79">
        <v>400</v>
      </c>
    </row>
    <row r="12" spans="1:14" x14ac:dyDescent="0.25">
      <c r="A12" s="94">
        <v>2101</v>
      </c>
      <c r="B12" s="15"/>
      <c r="C12" s="7" t="s">
        <v>1249</v>
      </c>
      <c r="D12" s="24">
        <v>230</v>
      </c>
      <c r="F12" s="5">
        <v>43516</v>
      </c>
      <c r="G12" s="108">
        <v>159</v>
      </c>
      <c r="H12" s="7" t="s">
        <v>1250</v>
      </c>
      <c r="I12" s="24">
        <v>379.77</v>
      </c>
      <c r="K12" s="94">
        <v>2702</v>
      </c>
      <c r="L12" s="95">
        <v>1711</v>
      </c>
      <c r="M12" s="76" t="s">
        <v>1251</v>
      </c>
      <c r="N12" s="79">
        <v>400</v>
      </c>
    </row>
    <row r="13" spans="1:14" x14ac:dyDescent="0.25">
      <c r="A13" s="94">
        <v>2201</v>
      </c>
      <c r="B13" s="15"/>
      <c r="C13" s="7" t="s">
        <v>1249</v>
      </c>
      <c r="D13" s="24">
        <v>120</v>
      </c>
      <c r="F13" s="5">
        <v>43516</v>
      </c>
      <c r="G13" s="108">
        <v>160</v>
      </c>
      <c r="H13" s="7" t="s">
        <v>1252</v>
      </c>
      <c r="I13" s="24">
        <v>379.77</v>
      </c>
      <c r="K13" s="94">
        <v>2702</v>
      </c>
      <c r="L13" s="95">
        <v>1712</v>
      </c>
      <c r="M13" s="76" t="s">
        <v>1253</v>
      </c>
      <c r="N13" s="79">
        <v>400</v>
      </c>
    </row>
    <row r="14" spans="1:14" x14ac:dyDescent="0.25">
      <c r="A14" s="94">
        <v>2501</v>
      </c>
      <c r="B14" s="15"/>
      <c r="C14" s="7" t="s">
        <v>1254</v>
      </c>
      <c r="D14" s="24">
        <v>4200</v>
      </c>
      <c r="F14" s="5">
        <v>43578</v>
      </c>
      <c r="G14" s="108">
        <v>834</v>
      </c>
      <c r="H14" s="7" t="s">
        <v>1255</v>
      </c>
      <c r="I14" s="23">
        <v>318.86</v>
      </c>
      <c r="K14" s="94">
        <v>3105</v>
      </c>
      <c r="L14" s="95">
        <v>5660</v>
      </c>
      <c r="M14" s="76" t="s">
        <v>363</v>
      </c>
      <c r="N14" s="79">
        <v>4500</v>
      </c>
    </row>
    <row r="15" spans="1:14" x14ac:dyDescent="0.25">
      <c r="A15" s="94">
        <v>2801</v>
      </c>
      <c r="B15" s="95">
        <v>641</v>
      </c>
      <c r="C15" s="76" t="s">
        <v>149</v>
      </c>
      <c r="D15" s="79">
        <v>20</v>
      </c>
      <c r="F15" s="5">
        <v>43578</v>
      </c>
      <c r="G15" s="108"/>
      <c r="H15" s="7" t="s">
        <v>1256</v>
      </c>
      <c r="I15" s="24">
        <f>249.1*0.7</f>
        <v>174.36999999999998</v>
      </c>
      <c r="K15" s="94">
        <v>3105</v>
      </c>
      <c r="L15" s="95">
        <v>5662</v>
      </c>
      <c r="M15" s="76" t="s">
        <v>365</v>
      </c>
      <c r="N15" s="79">
        <f>2*4500</f>
        <v>9000</v>
      </c>
    </row>
    <row r="16" spans="1:14" x14ac:dyDescent="0.25">
      <c r="A16" s="94">
        <v>3001</v>
      </c>
      <c r="B16" s="95">
        <v>709</v>
      </c>
      <c r="C16" s="76" t="s">
        <v>151</v>
      </c>
      <c r="D16" s="79">
        <v>832</v>
      </c>
      <c r="F16" s="5">
        <v>43614</v>
      </c>
      <c r="G16" s="108"/>
      <c r="H16" s="7" t="s">
        <v>1257</v>
      </c>
      <c r="I16" s="24">
        <f>(96.15*2)*0.7</f>
        <v>134.60999999999999</v>
      </c>
      <c r="K16" s="94">
        <v>506</v>
      </c>
      <c r="L16" s="95">
        <v>5748</v>
      </c>
      <c r="M16" s="76" t="s">
        <v>370</v>
      </c>
      <c r="N16" s="79">
        <f>(4*280)</f>
        <v>1120</v>
      </c>
    </row>
    <row r="17" spans="1:14" x14ac:dyDescent="0.25">
      <c r="A17" s="94">
        <v>502</v>
      </c>
      <c r="B17" s="95">
        <v>874</v>
      </c>
      <c r="C17" s="76" t="s">
        <v>152</v>
      </c>
      <c r="D17" s="79">
        <v>750</v>
      </c>
      <c r="F17" s="5">
        <v>43614</v>
      </c>
      <c r="G17" s="108"/>
      <c r="H17" s="7" t="s">
        <v>1258</v>
      </c>
      <c r="I17" s="24">
        <f>(96.15*2)*0.7</f>
        <v>134.60999999999999</v>
      </c>
      <c r="K17" s="94">
        <v>606</v>
      </c>
      <c r="L17" s="95">
        <v>5961</v>
      </c>
      <c r="M17" s="76" t="s">
        <v>389</v>
      </c>
      <c r="N17" s="79">
        <f>2*2462</f>
        <v>4924</v>
      </c>
    </row>
    <row r="18" spans="1:14" x14ac:dyDescent="0.25">
      <c r="A18" s="94">
        <v>502</v>
      </c>
      <c r="B18" s="95">
        <v>883</v>
      </c>
      <c r="C18" s="76" t="s">
        <v>153</v>
      </c>
      <c r="D18" s="79">
        <v>3944</v>
      </c>
      <c r="F18" s="5">
        <v>43501</v>
      </c>
      <c r="G18" s="6"/>
      <c r="H18" s="7" t="s">
        <v>1259</v>
      </c>
      <c r="I18" s="122">
        <v>2596.6</v>
      </c>
      <c r="K18" s="94">
        <v>606</v>
      </c>
      <c r="L18" s="95">
        <v>5962</v>
      </c>
      <c r="M18" s="76" t="s">
        <v>390</v>
      </c>
      <c r="N18" s="79">
        <v>1740</v>
      </c>
    </row>
    <row r="19" spans="1:14" x14ac:dyDescent="0.25">
      <c r="A19" s="94">
        <v>702</v>
      </c>
      <c r="B19" s="95">
        <v>962</v>
      </c>
      <c r="C19" s="76" t="s">
        <v>161</v>
      </c>
      <c r="D19" s="79">
        <v>3246</v>
      </c>
      <c r="F19" s="5">
        <v>43531</v>
      </c>
      <c r="G19" s="6"/>
      <c r="H19" s="7" t="s">
        <v>1260</v>
      </c>
      <c r="I19" s="122">
        <v>537.5</v>
      </c>
      <c r="K19" s="94">
        <v>1106</v>
      </c>
      <c r="L19" s="95">
        <v>6157</v>
      </c>
      <c r="M19" s="76" t="s">
        <v>400</v>
      </c>
      <c r="N19" s="79">
        <v>1447.99</v>
      </c>
    </row>
    <row r="20" spans="1:14" x14ac:dyDescent="0.25">
      <c r="A20" s="94">
        <v>702</v>
      </c>
      <c r="B20" s="15"/>
      <c r="C20" s="10" t="s">
        <v>1261</v>
      </c>
      <c r="D20" s="24">
        <v>150</v>
      </c>
      <c r="F20" s="5">
        <v>43679</v>
      </c>
      <c r="G20" s="108">
        <v>2491</v>
      </c>
      <c r="H20" s="7" t="s">
        <v>1262</v>
      </c>
      <c r="I20" s="24">
        <v>223.86</v>
      </c>
      <c r="K20" s="94">
        <v>2706</v>
      </c>
      <c r="L20" s="95">
        <v>7046</v>
      </c>
      <c r="M20" s="76" t="s">
        <v>416</v>
      </c>
      <c r="N20" s="79">
        <v>2625</v>
      </c>
    </row>
    <row r="21" spans="1:14" x14ac:dyDescent="0.25">
      <c r="A21" s="94">
        <v>1102</v>
      </c>
      <c r="B21" s="95">
        <v>1162</v>
      </c>
      <c r="C21" s="76" t="s">
        <v>167</v>
      </c>
      <c r="D21" s="24">
        <v>1200</v>
      </c>
      <c r="F21" s="5">
        <v>43710</v>
      </c>
      <c r="G21" s="108"/>
      <c r="H21" s="7" t="s">
        <v>1263</v>
      </c>
      <c r="I21" s="24">
        <f>169.45*2*0.7</f>
        <v>237.22999999999996</v>
      </c>
      <c r="K21" s="94">
        <v>2706</v>
      </c>
      <c r="L21" s="95">
        <v>7082</v>
      </c>
      <c r="M21" s="76" t="s">
        <v>418</v>
      </c>
      <c r="N21" s="79">
        <v>2462</v>
      </c>
    </row>
    <row r="22" spans="1:14" x14ac:dyDescent="0.25">
      <c r="A22" s="94">
        <v>1402</v>
      </c>
      <c r="B22" s="15"/>
      <c r="C22" s="7" t="s">
        <v>1264</v>
      </c>
      <c r="D22" s="24">
        <v>50</v>
      </c>
      <c r="F22" s="5">
        <v>43735</v>
      </c>
      <c r="G22" s="108"/>
      <c r="H22" s="7" t="s">
        <v>1265</v>
      </c>
      <c r="I22" s="24">
        <f>(169.45+130.15)*0.7</f>
        <v>209.72</v>
      </c>
      <c r="K22" s="94">
        <v>2806</v>
      </c>
      <c r="L22" s="95">
        <v>7154</v>
      </c>
      <c r="M22" s="76" t="s">
        <v>426</v>
      </c>
      <c r="N22" s="79">
        <v>3222.5</v>
      </c>
    </row>
    <row r="23" spans="1:14" x14ac:dyDescent="0.25">
      <c r="A23" s="94">
        <v>1802</v>
      </c>
      <c r="B23" s="15"/>
      <c r="C23" s="7" t="s">
        <v>1266</v>
      </c>
      <c r="D23" s="24">
        <f>60.1+20.31</f>
        <v>80.41</v>
      </c>
      <c r="F23" s="5">
        <v>43739</v>
      </c>
      <c r="G23" s="108"/>
      <c r="H23" s="7" t="s">
        <v>1267</v>
      </c>
      <c r="I23" s="24">
        <v>-320.7</v>
      </c>
      <c r="K23" s="94">
        <v>2806</v>
      </c>
      <c r="L23" s="95">
        <v>7155</v>
      </c>
      <c r="M23" s="76" t="s">
        <v>427</v>
      </c>
      <c r="N23" s="79">
        <v>529</v>
      </c>
    </row>
    <row r="24" spans="1:14" x14ac:dyDescent="0.25">
      <c r="A24" s="94">
        <v>1902</v>
      </c>
      <c r="B24" s="15"/>
      <c r="C24" s="7" t="s">
        <v>1268</v>
      </c>
      <c r="D24" s="24">
        <f>137+95+35+45+175+190+175+144</f>
        <v>996</v>
      </c>
      <c r="F24" s="5">
        <v>43759</v>
      </c>
      <c r="G24" s="108"/>
      <c r="H24" s="7" t="s">
        <v>1269</v>
      </c>
      <c r="I24" s="24">
        <v>-2408.7399999999998</v>
      </c>
      <c r="K24" s="94">
        <v>2806</v>
      </c>
      <c r="L24" s="95">
        <v>7156</v>
      </c>
      <c r="M24" s="76" t="s">
        <v>428</v>
      </c>
      <c r="N24" s="79">
        <v>500</v>
      </c>
    </row>
    <row r="25" spans="1:14" x14ac:dyDescent="0.25">
      <c r="A25" s="94">
        <v>2102</v>
      </c>
      <c r="B25" s="15"/>
      <c r="C25" s="7" t="s">
        <v>1270</v>
      </c>
      <c r="D25" s="24">
        <v>3700</v>
      </c>
      <c r="F25" s="5">
        <v>43759</v>
      </c>
      <c r="G25" s="108">
        <v>3499</v>
      </c>
      <c r="H25" s="7" t="s">
        <v>1271</v>
      </c>
      <c r="I25" s="24">
        <v>2408.7399999999998</v>
      </c>
      <c r="K25" s="94">
        <v>2806</v>
      </c>
      <c r="L25" s="95">
        <v>7157</v>
      </c>
      <c r="M25" s="76" t="s">
        <v>429</v>
      </c>
      <c r="N25" s="79">
        <v>2279.9899999999998</v>
      </c>
    </row>
    <row r="26" spans="1:14" x14ac:dyDescent="0.25">
      <c r="A26" s="94">
        <v>2602</v>
      </c>
      <c r="B26" s="15"/>
      <c r="C26" s="7" t="s">
        <v>1272</v>
      </c>
      <c r="D26" s="24">
        <v>1200</v>
      </c>
      <c r="F26" s="5">
        <v>43759</v>
      </c>
      <c r="G26" s="108"/>
      <c r="H26" s="7" t="s">
        <v>1273</v>
      </c>
      <c r="I26" s="24">
        <f>130.15*0.7</f>
        <v>91.105000000000004</v>
      </c>
      <c r="K26" s="94">
        <v>2806</v>
      </c>
      <c r="L26" s="95">
        <v>7158</v>
      </c>
      <c r="M26" s="76" t="s">
        <v>430</v>
      </c>
      <c r="N26" s="79">
        <v>594</v>
      </c>
    </row>
    <row r="27" spans="1:14" x14ac:dyDescent="0.25">
      <c r="A27" s="94">
        <v>2602</v>
      </c>
      <c r="B27" s="95">
        <v>1680</v>
      </c>
      <c r="C27" s="76" t="s">
        <v>169</v>
      </c>
      <c r="D27" s="24">
        <v>1373.75</v>
      </c>
      <c r="F27" s="5"/>
      <c r="G27" s="108"/>
      <c r="H27" s="7"/>
      <c r="I27" s="24"/>
      <c r="K27" s="5">
        <v>43773</v>
      </c>
      <c r="L27" s="95"/>
      <c r="M27" s="10" t="s">
        <v>1583</v>
      </c>
      <c r="N27" s="80">
        <v>-253146.4</v>
      </c>
    </row>
    <row r="28" spans="1:14" x14ac:dyDescent="0.25">
      <c r="A28" s="94">
        <v>2602</v>
      </c>
      <c r="B28" s="95">
        <v>1641</v>
      </c>
      <c r="C28" s="76" t="s">
        <v>171</v>
      </c>
      <c r="D28" s="79">
        <v>5420.2</v>
      </c>
      <c r="F28" s="5"/>
      <c r="G28" s="6"/>
      <c r="H28" s="7"/>
      <c r="I28" s="24"/>
      <c r="K28" s="94">
        <v>411</v>
      </c>
      <c r="L28" s="95">
        <v>14926</v>
      </c>
      <c r="M28" s="76" t="s">
        <v>573</v>
      </c>
      <c r="N28" s="203">
        <v>241146.5</v>
      </c>
    </row>
    <row r="29" spans="1:14" x14ac:dyDescent="0.25">
      <c r="A29" s="94">
        <v>2602</v>
      </c>
      <c r="B29" s="95">
        <v>1657</v>
      </c>
      <c r="C29" s="76" t="s">
        <v>173</v>
      </c>
      <c r="D29" s="79">
        <v>6625</v>
      </c>
      <c r="F29" s="5"/>
      <c r="G29" s="6"/>
      <c r="H29" s="7"/>
      <c r="I29" s="24"/>
      <c r="K29" s="94">
        <v>411</v>
      </c>
      <c r="L29" s="95">
        <v>14989</v>
      </c>
      <c r="M29" s="76" t="s">
        <v>574</v>
      </c>
      <c r="N29" s="203">
        <v>4999.8999999999996</v>
      </c>
    </row>
    <row r="30" spans="1:14" x14ac:dyDescent="0.25">
      <c r="A30" s="94">
        <v>2602</v>
      </c>
      <c r="B30" s="95">
        <v>1652</v>
      </c>
      <c r="C30" s="76" t="s">
        <v>175</v>
      </c>
      <c r="D30" s="79">
        <v>3921.4</v>
      </c>
      <c r="F30" s="5"/>
      <c r="G30" s="6"/>
      <c r="H30" s="7"/>
      <c r="I30" s="24"/>
      <c r="K30" s="94">
        <v>411</v>
      </c>
      <c r="L30" s="95">
        <v>14948</v>
      </c>
      <c r="M30" s="76" t="s">
        <v>575</v>
      </c>
      <c r="N30" s="203">
        <v>7000</v>
      </c>
    </row>
    <row r="31" spans="1:14" x14ac:dyDescent="0.25">
      <c r="A31" s="94">
        <v>2602</v>
      </c>
      <c r="B31" s="95">
        <v>1654</v>
      </c>
      <c r="C31" s="76" t="s">
        <v>177</v>
      </c>
      <c r="D31" s="79">
        <v>4865</v>
      </c>
      <c r="F31" s="5"/>
      <c r="G31" s="6"/>
      <c r="H31" s="7"/>
      <c r="I31" s="24"/>
      <c r="K31" s="68"/>
      <c r="L31" s="71"/>
      <c r="M31" s="10"/>
      <c r="N31" s="23"/>
    </row>
    <row r="32" spans="1:14" x14ac:dyDescent="0.25">
      <c r="A32" s="94">
        <v>2602</v>
      </c>
      <c r="B32" s="95">
        <v>1642</v>
      </c>
      <c r="C32" s="76" t="s">
        <v>179</v>
      </c>
      <c r="D32" s="79">
        <v>5861</v>
      </c>
      <c r="F32" s="5"/>
      <c r="G32" s="6"/>
      <c r="H32" s="7"/>
      <c r="I32" s="24"/>
      <c r="K32" s="68"/>
      <c r="L32" s="71"/>
      <c r="M32" s="10"/>
      <c r="N32" s="23"/>
    </row>
    <row r="33" spans="1:14" x14ac:dyDescent="0.25">
      <c r="A33" s="94">
        <v>2602</v>
      </c>
      <c r="B33" s="95">
        <v>1656</v>
      </c>
      <c r="C33" s="76" t="s">
        <v>181</v>
      </c>
      <c r="D33" s="79">
        <v>6337</v>
      </c>
      <c r="F33" s="5"/>
      <c r="G33" s="6"/>
      <c r="H33" s="7"/>
      <c r="I33" s="24"/>
      <c r="K33" s="68"/>
      <c r="L33" s="71"/>
      <c r="M33" s="10"/>
      <c r="N33" s="23"/>
    </row>
    <row r="34" spans="1:14" x14ac:dyDescent="0.25">
      <c r="A34" s="94">
        <v>1303</v>
      </c>
      <c r="B34" s="95" t="s">
        <v>1274</v>
      </c>
      <c r="C34" s="76" t="s">
        <v>1275</v>
      </c>
      <c r="D34" s="79">
        <v>35.11</v>
      </c>
      <c r="F34" s="5"/>
      <c r="G34" s="6"/>
      <c r="H34" s="7"/>
      <c r="I34" s="24"/>
      <c r="K34" s="68"/>
      <c r="L34" s="71"/>
      <c r="M34" s="10"/>
      <c r="N34" s="23"/>
    </row>
    <row r="35" spans="1:14" x14ac:dyDescent="0.25">
      <c r="A35" s="94">
        <v>1403</v>
      </c>
      <c r="B35" s="95">
        <v>2262</v>
      </c>
      <c r="C35" s="76" t="s">
        <v>220</v>
      </c>
      <c r="D35" s="79">
        <v>2609.14</v>
      </c>
      <c r="F35" s="5"/>
      <c r="G35" s="6"/>
      <c r="H35" s="7"/>
      <c r="I35" s="24"/>
      <c r="K35" s="8"/>
      <c r="L35" s="6"/>
      <c r="M35" s="7"/>
      <c r="N35" s="24"/>
    </row>
    <row r="36" spans="1:14" x14ac:dyDescent="0.25">
      <c r="A36" s="94">
        <v>2003</v>
      </c>
      <c r="B36" s="95">
        <v>2494</v>
      </c>
      <c r="C36" s="76" t="s">
        <v>244</v>
      </c>
      <c r="D36" s="79">
        <v>5693.87</v>
      </c>
      <c r="F36" s="5"/>
      <c r="G36" s="6"/>
      <c r="H36" s="7"/>
      <c r="I36" s="24"/>
      <c r="K36" s="8"/>
      <c r="L36" s="6"/>
      <c r="M36" s="7"/>
      <c r="N36" s="24"/>
    </row>
    <row r="37" spans="1:14" x14ac:dyDescent="0.25">
      <c r="A37" s="94">
        <v>2003</v>
      </c>
      <c r="B37" s="95">
        <v>2512</v>
      </c>
      <c r="C37" s="76" t="s">
        <v>1276</v>
      </c>
      <c r="D37" s="79">
        <v>3227</v>
      </c>
      <c r="F37" s="5"/>
      <c r="G37" s="6"/>
      <c r="H37" s="7"/>
      <c r="I37" s="24"/>
      <c r="K37" s="8"/>
      <c r="L37" s="6"/>
      <c r="M37" s="7"/>
      <c r="N37" s="24"/>
    </row>
    <row r="38" spans="1:14" x14ac:dyDescent="0.25">
      <c r="A38" s="94">
        <v>2003</v>
      </c>
      <c r="B38" s="15"/>
      <c r="C38" s="7" t="s">
        <v>1277</v>
      </c>
      <c r="D38" s="24">
        <f>3570+250</f>
        <v>3820</v>
      </c>
      <c r="F38" s="5"/>
      <c r="G38" s="6"/>
      <c r="H38" s="7"/>
      <c r="I38" s="24"/>
      <c r="K38" s="8"/>
      <c r="L38" s="6"/>
      <c r="M38" s="7"/>
      <c r="N38" s="24"/>
    </row>
    <row r="39" spans="1:14" x14ac:dyDescent="0.25">
      <c r="A39" s="94">
        <v>2103</v>
      </c>
      <c r="B39" s="15"/>
      <c r="C39" s="7" t="s">
        <v>1278</v>
      </c>
      <c r="D39" s="24">
        <v>-3227</v>
      </c>
      <c r="F39" s="5"/>
      <c r="G39" s="6"/>
      <c r="H39" s="7"/>
      <c r="I39" s="24"/>
      <c r="K39" s="8"/>
      <c r="L39" s="6"/>
      <c r="M39" s="7"/>
      <c r="N39" s="24"/>
    </row>
    <row r="40" spans="1:14" x14ac:dyDescent="0.25">
      <c r="A40" s="94">
        <v>2603</v>
      </c>
      <c r="B40" s="95">
        <v>3555</v>
      </c>
      <c r="C40" s="7" t="s">
        <v>1279</v>
      </c>
      <c r="D40" s="24">
        <v>12.8</v>
      </c>
      <c r="F40" s="5"/>
      <c r="G40" s="6"/>
      <c r="H40" s="7"/>
      <c r="I40" s="24"/>
      <c r="K40" s="8"/>
      <c r="L40" s="6"/>
      <c r="M40" s="7"/>
      <c r="N40" s="24"/>
    </row>
    <row r="41" spans="1:14" x14ac:dyDescent="0.25">
      <c r="A41" s="94">
        <v>2703</v>
      </c>
      <c r="B41" s="95">
        <v>3631</v>
      </c>
      <c r="C41" s="7" t="s">
        <v>1280</v>
      </c>
      <c r="D41" s="24">
        <v>141.5</v>
      </c>
      <c r="F41" s="5"/>
      <c r="G41" s="6"/>
      <c r="H41" s="7"/>
      <c r="I41" s="24"/>
      <c r="K41" s="8"/>
      <c r="L41" s="6"/>
      <c r="M41" s="7"/>
      <c r="N41" s="24"/>
    </row>
    <row r="42" spans="1:14" x14ac:dyDescent="0.25">
      <c r="A42" s="94">
        <v>2703</v>
      </c>
      <c r="B42" s="95">
        <v>2830</v>
      </c>
      <c r="C42" s="76" t="s">
        <v>256</v>
      </c>
      <c r="D42" s="79">
        <v>1988.04</v>
      </c>
      <c r="F42" s="5"/>
      <c r="G42" s="6"/>
      <c r="H42" s="7"/>
      <c r="I42" s="24"/>
      <c r="K42" s="8"/>
      <c r="L42" s="6"/>
      <c r="M42" s="7"/>
      <c r="N42" s="24"/>
    </row>
    <row r="43" spans="1:14" x14ac:dyDescent="0.25">
      <c r="A43" s="94">
        <v>2803</v>
      </c>
      <c r="B43" s="95">
        <v>3679</v>
      </c>
      <c r="C43" s="7" t="s">
        <v>1281</v>
      </c>
      <c r="D43" s="24">
        <v>97.67</v>
      </c>
      <c r="F43" s="5"/>
      <c r="G43" s="6"/>
      <c r="H43" s="7"/>
      <c r="I43" s="24"/>
      <c r="K43" s="8"/>
      <c r="L43" s="6"/>
      <c r="M43" s="7"/>
      <c r="N43" s="24"/>
    </row>
    <row r="44" spans="1:14" x14ac:dyDescent="0.25">
      <c r="A44" s="94">
        <v>2803</v>
      </c>
      <c r="B44" s="95">
        <v>3691</v>
      </c>
      <c r="C44" s="7" t="s">
        <v>1282</v>
      </c>
      <c r="D44" s="24">
        <v>73.519999999999982</v>
      </c>
      <c r="F44" s="5"/>
      <c r="G44" s="6"/>
      <c r="H44" s="7"/>
      <c r="I44" s="24"/>
      <c r="K44" s="8"/>
      <c r="L44" s="6"/>
      <c r="M44" s="7"/>
      <c r="N44" s="24"/>
    </row>
    <row r="45" spans="1:14" x14ac:dyDescent="0.25">
      <c r="A45" s="94">
        <v>2803</v>
      </c>
      <c r="B45" s="15"/>
      <c r="C45" s="10" t="s">
        <v>1283</v>
      </c>
      <c r="D45" s="24">
        <f>339.97+69.16+169.98+34.58</f>
        <v>613.69000000000005</v>
      </c>
      <c r="F45" s="5"/>
      <c r="G45" s="6"/>
      <c r="H45" s="7"/>
      <c r="I45" s="24"/>
      <c r="K45" s="8"/>
      <c r="L45" s="6"/>
      <c r="M45" s="7"/>
      <c r="N45" s="24"/>
    </row>
    <row r="46" spans="1:14" x14ac:dyDescent="0.25">
      <c r="A46" s="94">
        <v>104</v>
      </c>
      <c r="B46" s="15"/>
      <c r="C46" s="7" t="s">
        <v>1284</v>
      </c>
      <c r="D46" s="24">
        <v>100</v>
      </c>
      <c r="F46" s="5"/>
      <c r="G46" s="6"/>
      <c r="H46" s="7"/>
      <c r="I46" s="24"/>
      <c r="K46" s="8"/>
      <c r="L46" s="6"/>
      <c r="M46" s="7"/>
      <c r="N46" s="24"/>
    </row>
    <row r="47" spans="1:14" x14ac:dyDescent="0.25">
      <c r="A47" s="94">
        <v>304</v>
      </c>
      <c r="B47" s="15" t="s">
        <v>1285</v>
      </c>
      <c r="C47" s="76" t="s">
        <v>1286</v>
      </c>
      <c r="D47" s="24">
        <v>122</v>
      </c>
      <c r="F47" s="5"/>
      <c r="G47" s="6"/>
      <c r="H47" s="7"/>
      <c r="I47" s="24"/>
      <c r="K47" s="8"/>
      <c r="L47" s="6"/>
      <c r="M47" s="7"/>
      <c r="N47" s="24"/>
    </row>
    <row r="48" spans="1:14" x14ac:dyDescent="0.25">
      <c r="A48" s="94">
        <v>304</v>
      </c>
      <c r="B48" s="15" t="s">
        <v>1287</v>
      </c>
      <c r="C48" s="76" t="s">
        <v>1288</v>
      </c>
      <c r="D48" s="24">
        <v>118</v>
      </c>
      <c r="F48" s="5"/>
      <c r="G48" s="6"/>
      <c r="H48" s="7"/>
      <c r="I48" s="24"/>
      <c r="K48" s="8"/>
      <c r="L48" s="6"/>
      <c r="M48" s="7"/>
      <c r="N48" s="24"/>
    </row>
    <row r="49" spans="1:14" x14ac:dyDescent="0.25">
      <c r="A49" s="94">
        <v>304</v>
      </c>
      <c r="B49" s="15" t="s">
        <v>1289</v>
      </c>
      <c r="C49" s="76" t="s">
        <v>1290</v>
      </c>
      <c r="D49" s="24">
        <v>547.6</v>
      </c>
      <c r="F49" s="5"/>
      <c r="G49" s="6"/>
      <c r="H49" s="7"/>
      <c r="I49" s="24"/>
      <c r="K49" s="8"/>
      <c r="L49" s="6"/>
      <c r="M49" s="7"/>
      <c r="N49" s="24"/>
    </row>
    <row r="50" spans="1:14" x14ac:dyDescent="0.25">
      <c r="A50" s="94">
        <v>304</v>
      </c>
      <c r="B50" s="15" t="s">
        <v>1291</v>
      </c>
      <c r="C50" s="76" t="s">
        <v>1292</v>
      </c>
      <c r="D50" s="24">
        <v>15.5</v>
      </c>
      <c r="F50" s="5"/>
      <c r="G50" s="6"/>
      <c r="H50" s="7"/>
      <c r="I50" s="24"/>
      <c r="K50" s="8"/>
      <c r="L50" s="6"/>
      <c r="M50" s="7"/>
      <c r="N50" s="24"/>
    </row>
    <row r="51" spans="1:14" x14ac:dyDescent="0.25">
      <c r="A51" s="94">
        <v>304</v>
      </c>
      <c r="B51" s="15" t="s">
        <v>1293</v>
      </c>
      <c r="C51" s="76" t="s">
        <v>1294</v>
      </c>
      <c r="D51" s="24">
        <f>70+8</f>
        <v>78</v>
      </c>
      <c r="F51" s="5"/>
      <c r="G51" s="6"/>
      <c r="H51" s="7"/>
      <c r="I51" s="24"/>
      <c r="K51" s="8"/>
      <c r="L51" s="6"/>
      <c r="M51" s="7"/>
      <c r="N51" s="24"/>
    </row>
    <row r="52" spans="1:14" x14ac:dyDescent="0.25">
      <c r="A52" s="94">
        <v>404</v>
      </c>
      <c r="B52" s="95">
        <v>4216</v>
      </c>
      <c r="C52" s="7" t="s">
        <v>1295</v>
      </c>
      <c r="D52" s="24">
        <v>11.31</v>
      </c>
      <c r="F52" s="5"/>
      <c r="G52" s="6"/>
      <c r="H52" s="7"/>
      <c r="I52" s="24"/>
      <c r="K52" s="8"/>
      <c r="L52" s="6"/>
      <c r="M52" s="7"/>
      <c r="N52" s="24"/>
    </row>
    <row r="53" spans="1:14" x14ac:dyDescent="0.25">
      <c r="A53" s="94">
        <v>404</v>
      </c>
      <c r="B53" s="95">
        <v>4261</v>
      </c>
      <c r="C53" s="7" t="s">
        <v>1296</v>
      </c>
      <c r="D53" s="24">
        <v>652</v>
      </c>
      <c r="F53" s="5"/>
      <c r="G53" s="6"/>
      <c r="H53" s="7"/>
      <c r="I53" s="24"/>
      <c r="K53" s="8"/>
      <c r="L53" s="6"/>
      <c r="M53" s="7"/>
      <c r="N53" s="24"/>
    </row>
    <row r="54" spans="1:14" x14ac:dyDescent="0.25">
      <c r="A54" s="94">
        <v>504</v>
      </c>
      <c r="B54" s="95">
        <v>3363</v>
      </c>
      <c r="C54" s="76" t="s">
        <v>278</v>
      </c>
      <c r="D54" s="79">
        <v>100</v>
      </c>
      <c r="F54" s="5"/>
      <c r="G54" s="6"/>
      <c r="H54" s="7"/>
      <c r="I54" s="24"/>
      <c r="K54" s="8"/>
      <c r="L54" s="6"/>
      <c r="M54" s="7"/>
      <c r="N54" s="24"/>
    </row>
    <row r="55" spans="1:14" x14ac:dyDescent="0.25">
      <c r="A55" s="94">
        <v>504</v>
      </c>
      <c r="B55" s="95">
        <v>3415</v>
      </c>
      <c r="C55" s="76" t="s">
        <v>282</v>
      </c>
      <c r="D55" s="79">
        <v>29.48</v>
      </c>
      <c r="F55" s="5"/>
      <c r="G55" s="6"/>
      <c r="H55" s="7"/>
      <c r="I55" s="24"/>
      <c r="K55" s="8"/>
      <c r="L55" s="6"/>
      <c r="M55" s="7"/>
      <c r="N55" s="24"/>
    </row>
    <row r="56" spans="1:14" x14ac:dyDescent="0.25">
      <c r="A56" s="94">
        <v>804</v>
      </c>
      <c r="B56" s="95">
        <v>4392</v>
      </c>
      <c r="C56" s="7" t="s">
        <v>1297</v>
      </c>
      <c r="D56" s="24">
        <v>14.57</v>
      </c>
      <c r="F56" s="5"/>
      <c r="G56" s="6"/>
      <c r="H56" s="7"/>
      <c r="I56" s="24"/>
      <c r="K56" s="8"/>
      <c r="L56" s="6"/>
      <c r="M56" s="7"/>
      <c r="N56" s="24"/>
    </row>
    <row r="57" spans="1:14" x14ac:dyDescent="0.25">
      <c r="A57" s="94">
        <v>804</v>
      </c>
      <c r="B57" s="95">
        <v>4387</v>
      </c>
      <c r="C57" s="7" t="s">
        <v>1298</v>
      </c>
      <c r="D57" s="24">
        <v>263.39</v>
      </c>
      <c r="F57" s="5"/>
      <c r="G57" s="6"/>
      <c r="H57" s="7"/>
      <c r="I57" s="24"/>
      <c r="K57" s="8"/>
      <c r="L57" s="6"/>
      <c r="M57" s="7"/>
      <c r="N57" s="24"/>
    </row>
    <row r="58" spans="1:14" x14ac:dyDescent="0.25">
      <c r="A58" s="94">
        <v>804</v>
      </c>
      <c r="B58" s="95">
        <v>4402</v>
      </c>
      <c r="C58" s="7" t="s">
        <v>1299</v>
      </c>
      <c r="D58" s="24">
        <v>9.64</v>
      </c>
      <c r="F58" s="5"/>
      <c r="G58" s="6"/>
      <c r="H58" s="7"/>
      <c r="I58" s="24"/>
      <c r="K58" s="8"/>
      <c r="L58" s="6"/>
      <c r="M58" s="7"/>
      <c r="N58" s="24"/>
    </row>
    <row r="59" spans="1:14" x14ac:dyDescent="0.25">
      <c r="A59" s="94">
        <v>1104</v>
      </c>
      <c r="B59" s="95">
        <v>4605</v>
      </c>
      <c r="C59" s="7" t="s">
        <v>1295</v>
      </c>
      <c r="D59" s="23">
        <v>143.07</v>
      </c>
      <c r="F59" s="5"/>
      <c r="G59" s="6"/>
      <c r="H59" s="7"/>
      <c r="I59" s="24"/>
    </row>
    <row r="60" spans="1:14" x14ac:dyDescent="0.25">
      <c r="A60" s="94">
        <v>1104</v>
      </c>
      <c r="B60" s="95">
        <v>4702</v>
      </c>
      <c r="C60" s="7" t="s">
        <v>1300</v>
      </c>
      <c r="D60" s="24">
        <v>193.8</v>
      </c>
      <c r="F60" s="5"/>
      <c r="G60" s="6"/>
      <c r="H60" s="7"/>
      <c r="I60" s="24"/>
    </row>
    <row r="61" spans="1:14" x14ac:dyDescent="0.25">
      <c r="A61" s="94">
        <v>1104</v>
      </c>
      <c r="B61" s="95">
        <v>4704</v>
      </c>
      <c r="C61" s="7" t="s">
        <v>1300</v>
      </c>
      <c r="D61" s="24">
        <v>45.8</v>
      </c>
    </row>
    <row r="62" spans="1:14" x14ac:dyDescent="0.25">
      <c r="A62" s="94">
        <v>1104</v>
      </c>
      <c r="B62" s="15"/>
      <c r="C62" s="7" t="s">
        <v>1301</v>
      </c>
      <c r="D62" s="24">
        <v>3007</v>
      </c>
    </row>
    <row r="63" spans="1:14" x14ac:dyDescent="0.25">
      <c r="A63" s="94">
        <v>1204</v>
      </c>
      <c r="B63" s="95">
        <v>3684</v>
      </c>
      <c r="C63" s="76" t="s">
        <v>291</v>
      </c>
      <c r="D63" s="79">
        <v>912</v>
      </c>
    </row>
    <row r="64" spans="1:14" x14ac:dyDescent="0.25">
      <c r="A64" s="94">
        <v>1204</v>
      </c>
      <c r="B64" s="95">
        <v>3685</v>
      </c>
      <c r="C64" s="76" t="s">
        <v>291</v>
      </c>
      <c r="D64" s="79">
        <v>260</v>
      </c>
    </row>
    <row r="65" spans="1:4" x14ac:dyDescent="0.25">
      <c r="A65" s="94">
        <v>1204</v>
      </c>
      <c r="B65" s="95">
        <v>4738</v>
      </c>
      <c r="C65" s="7" t="s">
        <v>1298</v>
      </c>
      <c r="D65" s="24">
        <v>128.22999999999999</v>
      </c>
    </row>
    <row r="66" spans="1:4" x14ac:dyDescent="0.25">
      <c r="A66" s="94">
        <v>1204</v>
      </c>
      <c r="B66" s="95">
        <v>3707</v>
      </c>
      <c r="C66" s="76" t="s">
        <v>1302</v>
      </c>
      <c r="D66" s="79">
        <v>1000</v>
      </c>
    </row>
    <row r="67" spans="1:4" x14ac:dyDescent="0.25">
      <c r="A67" s="94">
        <v>1204</v>
      </c>
      <c r="B67" s="95">
        <v>4772</v>
      </c>
      <c r="C67" s="7" t="s">
        <v>1298</v>
      </c>
      <c r="D67" s="23">
        <v>77.59</v>
      </c>
    </row>
    <row r="68" spans="1:4" x14ac:dyDescent="0.25">
      <c r="A68" s="94">
        <v>1504</v>
      </c>
      <c r="B68" s="95">
        <v>3756</v>
      </c>
      <c r="C68" s="76" t="s">
        <v>299</v>
      </c>
      <c r="D68" s="79">
        <v>205</v>
      </c>
    </row>
    <row r="69" spans="1:4" x14ac:dyDescent="0.25">
      <c r="A69" s="94">
        <v>1604</v>
      </c>
      <c r="B69" s="95">
        <v>4912</v>
      </c>
      <c r="C69" s="7" t="s">
        <v>1303</v>
      </c>
      <c r="D69" s="23">
        <v>22.9</v>
      </c>
    </row>
    <row r="70" spans="1:4" x14ac:dyDescent="0.25">
      <c r="A70" s="94">
        <v>1804</v>
      </c>
      <c r="B70" s="70"/>
      <c r="C70" s="10" t="s">
        <v>1304</v>
      </c>
      <c r="D70" s="23">
        <v>2338.8000000000002</v>
      </c>
    </row>
    <row r="71" spans="1:4" x14ac:dyDescent="0.25">
      <c r="A71" s="94">
        <v>1804</v>
      </c>
      <c r="B71" s="95">
        <v>5063</v>
      </c>
      <c r="C71" s="7" t="s">
        <v>1295</v>
      </c>
      <c r="D71" s="24">
        <v>111.11000000000001</v>
      </c>
    </row>
    <row r="72" spans="1:4" x14ac:dyDescent="0.25">
      <c r="A72" s="94">
        <v>2304</v>
      </c>
      <c r="B72" s="95">
        <v>5128</v>
      </c>
      <c r="C72" s="7" t="s">
        <v>1299</v>
      </c>
      <c r="D72" s="24">
        <v>114.88</v>
      </c>
    </row>
    <row r="73" spans="1:4" x14ac:dyDescent="0.25">
      <c r="A73" s="94">
        <v>2304</v>
      </c>
      <c r="B73" s="15"/>
      <c r="C73" s="7" t="s">
        <v>1305</v>
      </c>
      <c r="D73" s="24">
        <f>7200-D74</f>
        <v>3200</v>
      </c>
    </row>
    <row r="74" spans="1:4" x14ac:dyDescent="0.25">
      <c r="A74" s="94">
        <v>2304</v>
      </c>
      <c r="B74" s="71"/>
      <c r="C74" s="7" t="s">
        <v>1306</v>
      </c>
      <c r="D74" s="23">
        <f>16*250</f>
        <v>4000</v>
      </c>
    </row>
    <row r="75" spans="1:4" x14ac:dyDescent="0.25">
      <c r="A75" s="94">
        <v>2504</v>
      </c>
      <c r="B75" s="95">
        <v>5291</v>
      </c>
      <c r="C75" s="7" t="s">
        <v>1295</v>
      </c>
      <c r="D75" s="23">
        <v>20.04</v>
      </c>
    </row>
    <row r="76" spans="1:4" x14ac:dyDescent="0.25">
      <c r="A76" s="94">
        <v>2504</v>
      </c>
      <c r="B76" s="95">
        <v>5255</v>
      </c>
      <c r="C76" s="7" t="s">
        <v>1295</v>
      </c>
      <c r="D76" s="23">
        <v>138.46</v>
      </c>
    </row>
    <row r="77" spans="1:4" x14ac:dyDescent="0.25">
      <c r="A77" s="5">
        <v>43581</v>
      </c>
      <c r="B77" s="10"/>
      <c r="C77" s="10" t="s">
        <v>1307</v>
      </c>
      <c r="D77" s="23">
        <v>30</v>
      </c>
    </row>
    <row r="78" spans="1:4" x14ac:dyDescent="0.25">
      <c r="A78" s="5">
        <v>43581</v>
      </c>
      <c r="B78" s="10"/>
      <c r="C78" s="10" t="s">
        <v>1308</v>
      </c>
      <c r="D78" s="23">
        <v>20</v>
      </c>
    </row>
    <row r="79" spans="1:4" x14ac:dyDescent="0.25">
      <c r="A79" s="5">
        <v>43581</v>
      </c>
      <c r="B79" s="10"/>
      <c r="C79" s="10" t="s">
        <v>1309</v>
      </c>
      <c r="D79" s="23">
        <v>50</v>
      </c>
    </row>
    <row r="80" spans="1:4" x14ac:dyDescent="0.25">
      <c r="A80" s="5">
        <v>43581</v>
      </c>
      <c r="B80" s="6"/>
      <c r="C80" s="10" t="s">
        <v>1310</v>
      </c>
      <c r="D80" s="23">
        <f>5+5+50</f>
        <v>60</v>
      </c>
    </row>
    <row r="81" spans="1:4" x14ac:dyDescent="0.25">
      <c r="A81" s="5">
        <v>43581</v>
      </c>
      <c r="B81" s="6"/>
      <c r="C81" s="10" t="s">
        <v>1311</v>
      </c>
      <c r="D81" s="23">
        <v>15</v>
      </c>
    </row>
    <row r="82" spans="1:4" x14ac:dyDescent="0.25">
      <c r="A82" s="5">
        <v>43581</v>
      </c>
      <c r="B82" s="6"/>
      <c r="C82" s="10" t="s">
        <v>1312</v>
      </c>
      <c r="D82" s="23">
        <v>75</v>
      </c>
    </row>
    <row r="83" spans="1:4" x14ac:dyDescent="0.25">
      <c r="A83" s="5">
        <v>43581</v>
      </c>
      <c r="B83" s="10"/>
      <c r="C83" s="10" t="s">
        <v>1313</v>
      </c>
      <c r="D83" s="23">
        <v>20</v>
      </c>
    </row>
    <row r="84" spans="1:4" x14ac:dyDescent="0.25">
      <c r="A84" s="94">
        <v>3004</v>
      </c>
      <c r="B84" s="95">
        <v>5528</v>
      </c>
      <c r="C84" s="7" t="s">
        <v>1295</v>
      </c>
      <c r="D84" s="24">
        <v>579.91999999999996</v>
      </c>
    </row>
    <row r="85" spans="1:4" x14ac:dyDescent="0.25">
      <c r="A85" s="94">
        <v>3004</v>
      </c>
      <c r="B85" s="95">
        <v>5530</v>
      </c>
      <c r="C85" s="7" t="s">
        <v>1295</v>
      </c>
      <c r="D85" s="24">
        <v>378.94</v>
      </c>
    </row>
    <row r="86" spans="1:4" x14ac:dyDescent="0.25">
      <c r="A86" s="94">
        <v>205</v>
      </c>
      <c r="B86" s="95">
        <v>5629</v>
      </c>
      <c r="C86" s="7" t="s">
        <v>1298</v>
      </c>
      <c r="D86" s="24">
        <v>51.8</v>
      </c>
    </row>
    <row r="87" spans="1:4" x14ac:dyDescent="0.25">
      <c r="A87" s="94">
        <v>205</v>
      </c>
      <c r="B87" s="95">
        <v>5633</v>
      </c>
      <c r="C87" s="7" t="s">
        <v>1298</v>
      </c>
      <c r="D87" s="24">
        <v>11.45</v>
      </c>
    </row>
    <row r="88" spans="1:4" x14ac:dyDescent="0.25">
      <c r="A88" s="94">
        <v>205</v>
      </c>
      <c r="B88" s="95">
        <v>5638</v>
      </c>
      <c r="C88" s="7" t="s">
        <v>1314</v>
      </c>
      <c r="D88" s="24">
        <v>31.17</v>
      </c>
    </row>
    <row r="89" spans="1:4" x14ac:dyDescent="0.25">
      <c r="A89" s="94">
        <v>305</v>
      </c>
      <c r="B89" s="95">
        <v>4421</v>
      </c>
      <c r="C89" s="76" t="s">
        <v>329</v>
      </c>
      <c r="D89" s="79">
        <v>430</v>
      </c>
    </row>
    <row r="90" spans="1:4" x14ac:dyDescent="0.25">
      <c r="A90" s="94">
        <v>605</v>
      </c>
      <c r="B90" s="95">
        <v>5784</v>
      </c>
      <c r="C90" s="7" t="s">
        <v>1295</v>
      </c>
      <c r="D90" s="24">
        <v>36.99</v>
      </c>
    </row>
    <row r="91" spans="1:4" x14ac:dyDescent="0.25">
      <c r="A91" s="94">
        <v>605</v>
      </c>
      <c r="B91" s="15"/>
      <c r="C91" s="7" t="s">
        <v>1315</v>
      </c>
      <c r="D91" s="24">
        <v>1600</v>
      </c>
    </row>
    <row r="92" spans="1:4" x14ac:dyDescent="0.25">
      <c r="A92" s="94">
        <v>705</v>
      </c>
      <c r="B92" s="95">
        <v>5881</v>
      </c>
      <c r="C92" s="7" t="s">
        <v>1295</v>
      </c>
      <c r="D92" s="24">
        <v>83.189999999999984</v>
      </c>
    </row>
    <row r="93" spans="1:4" x14ac:dyDescent="0.25">
      <c r="A93" s="94">
        <v>705</v>
      </c>
      <c r="B93" s="95">
        <v>5931</v>
      </c>
      <c r="C93" s="7" t="s">
        <v>1303</v>
      </c>
      <c r="D93" s="24">
        <v>22.9</v>
      </c>
    </row>
    <row r="94" spans="1:4" x14ac:dyDescent="0.25">
      <c r="A94" s="94">
        <v>705</v>
      </c>
      <c r="B94" s="95">
        <v>5961</v>
      </c>
      <c r="C94" s="7" t="s">
        <v>1299</v>
      </c>
      <c r="D94" s="24">
        <v>82.79</v>
      </c>
    </row>
    <row r="95" spans="1:4" x14ac:dyDescent="0.25">
      <c r="A95" s="94">
        <v>805</v>
      </c>
      <c r="B95" s="95">
        <v>5979</v>
      </c>
      <c r="C95" s="7" t="s">
        <v>1300</v>
      </c>
      <c r="D95" s="24">
        <v>47.04</v>
      </c>
    </row>
    <row r="96" spans="1:4" x14ac:dyDescent="0.25">
      <c r="A96" s="94">
        <v>805</v>
      </c>
      <c r="B96" s="95">
        <v>5990</v>
      </c>
      <c r="C96" s="7" t="s">
        <v>1298</v>
      </c>
      <c r="D96" s="24">
        <v>190.2</v>
      </c>
    </row>
    <row r="97" spans="1:4" x14ac:dyDescent="0.25">
      <c r="A97" s="94">
        <v>905</v>
      </c>
      <c r="B97" s="95">
        <v>4746</v>
      </c>
      <c r="C97" s="76" t="s">
        <v>340</v>
      </c>
      <c r="D97" s="79">
        <v>654.02</v>
      </c>
    </row>
    <row r="98" spans="1:4" x14ac:dyDescent="0.25">
      <c r="A98" s="94">
        <v>1005</v>
      </c>
      <c r="B98" s="95">
        <v>4754</v>
      </c>
      <c r="C98" s="76" t="s">
        <v>341</v>
      </c>
      <c r="D98" s="79">
        <v>700</v>
      </c>
    </row>
    <row r="99" spans="1:4" x14ac:dyDescent="0.25">
      <c r="A99" s="94">
        <v>1305</v>
      </c>
      <c r="B99" s="95">
        <v>6241</v>
      </c>
      <c r="C99" s="7" t="s">
        <v>1298</v>
      </c>
      <c r="D99" s="24">
        <v>49.86</v>
      </c>
    </row>
    <row r="100" spans="1:4" x14ac:dyDescent="0.25">
      <c r="A100" s="94">
        <v>1405</v>
      </c>
      <c r="B100" s="95">
        <v>6279</v>
      </c>
      <c r="C100" s="7" t="s">
        <v>1295</v>
      </c>
      <c r="D100" s="24">
        <v>82.06</v>
      </c>
    </row>
    <row r="101" spans="1:4" x14ac:dyDescent="0.25">
      <c r="A101" s="94">
        <v>1605</v>
      </c>
      <c r="B101" s="95">
        <v>6362</v>
      </c>
      <c r="C101" s="7" t="s">
        <v>1295</v>
      </c>
      <c r="D101" s="23">
        <v>88.22</v>
      </c>
    </row>
    <row r="102" spans="1:4" x14ac:dyDescent="0.25">
      <c r="A102" s="94">
        <v>1605</v>
      </c>
      <c r="B102" s="95">
        <v>6369</v>
      </c>
      <c r="C102" s="7" t="s">
        <v>1295</v>
      </c>
      <c r="D102" s="23">
        <v>541.07000000000005</v>
      </c>
    </row>
    <row r="103" spans="1:4" x14ac:dyDescent="0.25">
      <c r="A103" s="94">
        <v>1605</v>
      </c>
      <c r="B103" s="95">
        <v>6396</v>
      </c>
      <c r="C103" s="7" t="s">
        <v>1295</v>
      </c>
      <c r="D103" s="23">
        <v>19.350000000000001</v>
      </c>
    </row>
    <row r="104" spans="1:4" x14ac:dyDescent="0.25">
      <c r="A104" s="94">
        <v>1605</v>
      </c>
      <c r="B104" s="95">
        <v>5063</v>
      </c>
      <c r="C104" s="7" t="s">
        <v>349</v>
      </c>
      <c r="D104" s="24">
        <v>20</v>
      </c>
    </row>
    <row r="105" spans="1:4" x14ac:dyDescent="0.25">
      <c r="A105" s="94">
        <v>1605</v>
      </c>
      <c r="B105" s="15"/>
      <c r="C105" s="7" t="s">
        <v>1316</v>
      </c>
      <c r="D105" s="24">
        <f>15.43+18.16</f>
        <v>33.590000000000003</v>
      </c>
    </row>
    <row r="106" spans="1:4" x14ac:dyDescent="0.25">
      <c r="A106" s="94">
        <v>2005</v>
      </c>
      <c r="B106" s="95">
        <v>5080</v>
      </c>
      <c r="C106" s="76" t="s">
        <v>350</v>
      </c>
      <c r="D106" s="79">
        <v>380</v>
      </c>
    </row>
    <row r="107" spans="1:4" x14ac:dyDescent="0.25">
      <c r="A107" s="94">
        <v>2005</v>
      </c>
      <c r="B107" s="95">
        <v>5081</v>
      </c>
      <c r="C107" s="76" t="s">
        <v>351</v>
      </c>
      <c r="D107" s="79">
        <v>690</v>
      </c>
    </row>
    <row r="108" spans="1:4" x14ac:dyDescent="0.25">
      <c r="A108" s="94">
        <v>2005</v>
      </c>
      <c r="B108" s="95">
        <v>6460</v>
      </c>
      <c r="C108" s="7" t="s">
        <v>1295</v>
      </c>
      <c r="D108" s="23">
        <v>652</v>
      </c>
    </row>
    <row r="109" spans="1:4" x14ac:dyDescent="0.25">
      <c r="A109" s="94">
        <v>2005</v>
      </c>
      <c r="B109" s="95">
        <v>6502</v>
      </c>
      <c r="C109" s="7" t="s">
        <v>1295</v>
      </c>
      <c r="D109" s="23">
        <v>301.08</v>
      </c>
    </row>
    <row r="110" spans="1:4" x14ac:dyDescent="0.25">
      <c r="A110" s="94">
        <v>2105</v>
      </c>
      <c r="B110" s="95">
        <v>6510</v>
      </c>
      <c r="C110" s="7" t="s">
        <v>1295</v>
      </c>
      <c r="D110" s="23">
        <v>47.37</v>
      </c>
    </row>
    <row r="111" spans="1:4" x14ac:dyDescent="0.25">
      <c r="A111" s="94">
        <v>2105</v>
      </c>
      <c r="B111" s="95">
        <v>6515</v>
      </c>
      <c r="C111" s="7" t="s">
        <v>1295</v>
      </c>
      <c r="D111" s="24">
        <v>237.8</v>
      </c>
    </row>
    <row r="112" spans="1:4" x14ac:dyDescent="0.25">
      <c r="A112" s="94">
        <v>2105</v>
      </c>
      <c r="B112" s="95">
        <v>6532</v>
      </c>
      <c r="C112" s="7" t="s">
        <v>1295</v>
      </c>
      <c r="D112" s="24">
        <v>317.8</v>
      </c>
    </row>
    <row r="113" spans="1:4" x14ac:dyDescent="0.25">
      <c r="A113" s="94">
        <v>2105</v>
      </c>
      <c r="B113" s="15" t="s">
        <v>1317</v>
      </c>
      <c r="C113" s="76" t="s">
        <v>1318</v>
      </c>
      <c r="D113" s="23">
        <v>74</v>
      </c>
    </row>
    <row r="114" spans="1:4" x14ac:dyDescent="0.25">
      <c r="A114" s="94">
        <v>2105</v>
      </c>
      <c r="B114" s="15" t="s">
        <v>1319</v>
      </c>
      <c r="C114" s="76" t="s">
        <v>1320</v>
      </c>
      <c r="D114" s="23">
        <f>25.2+58.5</f>
        <v>83.7</v>
      </c>
    </row>
    <row r="115" spans="1:4" x14ac:dyDescent="0.25">
      <c r="A115" s="94">
        <v>2105</v>
      </c>
      <c r="B115" s="15" t="s">
        <v>1321</v>
      </c>
      <c r="C115" s="76" t="s">
        <v>1322</v>
      </c>
      <c r="D115" s="23">
        <v>12.5</v>
      </c>
    </row>
    <row r="116" spans="1:4" x14ac:dyDescent="0.25">
      <c r="A116" s="94">
        <v>2105</v>
      </c>
      <c r="B116" s="71"/>
      <c r="C116" s="7" t="s">
        <v>1323</v>
      </c>
      <c r="D116" s="23">
        <v>175.5</v>
      </c>
    </row>
    <row r="117" spans="1:4" x14ac:dyDescent="0.25">
      <c r="A117" s="94">
        <v>2305</v>
      </c>
      <c r="B117" s="95">
        <v>5209</v>
      </c>
      <c r="C117" s="76" t="s">
        <v>352</v>
      </c>
      <c r="D117" s="79">
        <v>122.5</v>
      </c>
    </row>
    <row r="118" spans="1:4" x14ac:dyDescent="0.25">
      <c r="A118" s="94">
        <v>2305</v>
      </c>
      <c r="B118" s="95">
        <v>6434</v>
      </c>
      <c r="C118" s="7" t="s">
        <v>1298</v>
      </c>
      <c r="D118" s="24">
        <v>96.26</v>
      </c>
    </row>
    <row r="119" spans="1:4" x14ac:dyDescent="0.25">
      <c r="A119" s="94">
        <v>2305</v>
      </c>
      <c r="B119" s="95">
        <v>6636</v>
      </c>
      <c r="C119" s="7" t="s">
        <v>1298</v>
      </c>
      <c r="D119" s="24">
        <v>11.45</v>
      </c>
    </row>
    <row r="120" spans="1:4" x14ac:dyDescent="0.25">
      <c r="A120" s="94">
        <v>2305</v>
      </c>
      <c r="B120" s="95">
        <v>6661</v>
      </c>
      <c r="C120" s="7" t="s">
        <v>1295</v>
      </c>
      <c r="D120" s="24">
        <v>270.3</v>
      </c>
    </row>
    <row r="121" spans="1:4" x14ac:dyDescent="0.25">
      <c r="A121" s="94">
        <v>2305</v>
      </c>
      <c r="B121" s="95">
        <v>6663</v>
      </c>
      <c r="C121" s="7" t="s">
        <v>1295</v>
      </c>
      <c r="D121" s="24">
        <v>11.31</v>
      </c>
    </row>
    <row r="122" spans="1:4" x14ac:dyDescent="0.25">
      <c r="A122" s="94">
        <v>2405</v>
      </c>
      <c r="B122" s="15"/>
      <c r="C122" s="7" t="s">
        <v>1324</v>
      </c>
      <c r="D122" s="24">
        <f>6950-3750</f>
        <v>3200</v>
      </c>
    </row>
    <row r="123" spans="1:4" x14ac:dyDescent="0.25">
      <c r="A123" s="94">
        <v>2405</v>
      </c>
      <c r="B123" s="15"/>
      <c r="C123" s="7" t="s">
        <v>1325</v>
      </c>
      <c r="D123" s="24">
        <f>15*250</f>
        <v>3750</v>
      </c>
    </row>
    <row r="124" spans="1:4" x14ac:dyDescent="0.25">
      <c r="A124" s="94">
        <v>2405</v>
      </c>
      <c r="B124" s="95">
        <v>6759</v>
      </c>
      <c r="C124" s="7" t="s">
        <v>1295</v>
      </c>
      <c r="D124" s="24">
        <v>334.31</v>
      </c>
    </row>
    <row r="125" spans="1:4" x14ac:dyDescent="0.25">
      <c r="A125" s="94">
        <v>2705</v>
      </c>
      <c r="B125" s="15"/>
      <c r="C125" s="7" t="s">
        <v>1326</v>
      </c>
      <c r="D125" s="24">
        <v>750</v>
      </c>
    </row>
    <row r="126" spans="1:4" x14ac:dyDescent="0.25">
      <c r="A126" s="94">
        <v>2705</v>
      </c>
      <c r="B126" s="15"/>
      <c r="C126" s="7" t="s">
        <v>1327</v>
      </c>
      <c r="D126" s="24">
        <f>245+288+32.5+361.5+370+175+5+140+70+49+22.5+70+42+35+25</f>
        <v>1930.5</v>
      </c>
    </row>
    <row r="127" spans="1:4" x14ac:dyDescent="0.25">
      <c r="A127" s="94">
        <v>2705</v>
      </c>
      <c r="B127" s="15"/>
      <c r="C127" s="7" t="s">
        <v>1328</v>
      </c>
      <c r="D127" s="23">
        <v>2633.62</v>
      </c>
    </row>
    <row r="128" spans="1:4" x14ac:dyDescent="0.25">
      <c r="A128" s="94">
        <v>2705</v>
      </c>
      <c r="B128" s="71"/>
      <c r="C128" s="10" t="s">
        <v>1329</v>
      </c>
      <c r="D128" s="23">
        <v>1143.3900000000001</v>
      </c>
    </row>
    <row r="129" spans="1:4" x14ac:dyDescent="0.25">
      <c r="A129" s="94">
        <v>2705</v>
      </c>
      <c r="B129" s="95">
        <v>6831</v>
      </c>
      <c r="C129" s="7" t="s">
        <v>1295</v>
      </c>
      <c r="D129" s="24">
        <v>19.739999999999998</v>
      </c>
    </row>
    <row r="130" spans="1:4" x14ac:dyDescent="0.25">
      <c r="A130" s="94">
        <v>2705</v>
      </c>
      <c r="B130" s="95">
        <v>6833</v>
      </c>
      <c r="C130" s="7" t="s">
        <v>1330</v>
      </c>
      <c r="D130" s="24">
        <v>31.54</v>
      </c>
    </row>
    <row r="131" spans="1:4" x14ac:dyDescent="0.25">
      <c r="A131" s="94">
        <v>2705</v>
      </c>
      <c r="B131" s="95">
        <v>6838</v>
      </c>
      <c r="C131" s="7" t="s">
        <v>1314</v>
      </c>
      <c r="D131" s="80">
        <v>62.34</v>
      </c>
    </row>
    <row r="132" spans="1:4" x14ac:dyDescent="0.25">
      <c r="A132" s="94">
        <v>2705</v>
      </c>
      <c r="B132" s="95">
        <v>6838</v>
      </c>
      <c r="C132" s="7" t="s">
        <v>1314</v>
      </c>
      <c r="D132" s="80">
        <v>4.8499999999999996</v>
      </c>
    </row>
    <row r="133" spans="1:4" x14ac:dyDescent="0.25">
      <c r="A133" s="94">
        <v>2805</v>
      </c>
      <c r="B133" s="95">
        <v>6879</v>
      </c>
      <c r="C133" s="7" t="s">
        <v>1299</v>
      </c>
      <c r="D133" s="24">
        <v>30.52</v>
      </c>
    </row>
    <row r="134" spans="1:4" x14ac:dyDescent="0.25">
      <c r="A134" s="94">
        <v>2905</v>
      </c>
      <c r="B134" s="95">
        <v>6965</v>
      </c>
      <c r="C134" s="7" t="s">
        <v>1295</v>
      </c>
      <c r="D134" s="23">
        <v>203.75</v>
      </c>
    </row>
    <row r="135" spans="1:4" x14ac:dyDescent="0.25">
      <c r="A135" s="94">
        <v>306</v>
      </c>
      <c r="B135" s="95">
        <v>7174</v>
      </c>
      <c r="C135" s="7" t="s">
        <v>1295</v>
      </c>
      <c r="D135" s="23">
        <v>89.769999999999982</v>
      </c>
    </row>
    <row r="136" spans="1:4" x14ac:dyDescent="0.25">
      <c r="A136" s="68">
        <v>306</v>
      </c>
      <c r="B136" s="95">
        <v>5696</v>
      </c>
      <c r="C136" s="76" t="s">
        <v>368</v>
      </c>
      <c r="D136" s="79">
        <v>1025</v>
      </c>
    </row>
    <row r="137" spans="1:4" x14ac:dyDescent="0.25">
      <c r="A137" s="94">
        <v>406</v>
      </c>
      <c r="B137" s="95">
        <v>7227</v>
      </c>
      <c r="C137" s="7" t="s">
        <v>1295</v>
      </c>
      <c r="D137" s="23">
        <v>233.96</v>
      </c>
    </row>
    <row r="138" spans="1:4" x14ac:dyDescent="0.25">
      <c r="A138" s="94">
        <v>506</v>
      </c>
      <c r="B138" s="95">
        <v>7293</v>
      </c>
      <c r="C138" s="7" t="s">
        <v>1298</v>
      </c>
      <c r="D138" s="24">
        <v>192.51</v>
      </c>
    </row>
    <row r="139" spans="1:4" x14ac:dyDescent="0.25">
      <c r="A139" s="94">
        <v>606</v>
      </c>
      <c r="B139" s="95">
        <v>7380</v>
      </c>
      <c r="C139" s="7" t="s">
        <v>1298</v>
      </c>
      <c r="D139" s="24">
        <v>11.45</v>
      </c>
    </row>
    <row r="140" spans="1:4" x14ac:dyDescent="0.25">
      <c r="A140" s="94">
        <v>606</v>
      </c>
      <c r="B140" s="95">
        <v>7399</v>
      </c>
      <c r="C140" s="7" t="s">
        <v>1295</v>
      </c>
      <c r="D140" s="23">
        <v>5.55</v>
      </c>
    </row>
    <row r="141" spans="1:4" x14ac:dyDescent="0.25">
      <c r="A141" s="94">
        <v>606</v>
      </c>
      <c r="B141" s="95">
        <v>7418</v>
      </c>
      <c r="C141" s="7" t="s">
        <v>1295</v>
      </c>
      <c r="D141" s="23">
        <v>121.93</v>
      </c>
    </row>
    <row r="142" spans="1:4" x14ac:dyDescent="0.25">
      <c r="A142" s="94">
        <v>606</v>
      </c>
      <c r="B142" s="95">
        <v>7431</v>
      </c>
      <c r="C142" s="7" t="s">
        <v>1303</v>
      </c>
      <c r="D142" s="24">
        <v>22.9</v>
      </c>
    </row>
    <row r="143" spans="1:4" x14ac:dyDescent="0.25">
      <c r="A143" s="94">
        <v>706</v>
      </c>
      <c r="B143" s="95">
        <v>7453</v>
      </c>
      <c r="C143" s="7" t="s">
        <v>1295</v>
      </c>
      <c r="D143" s="24">
        <v>18.760000000000002</v>
      </c>
    </row>
    <row r="144" spans="1:4" x14ac:dyDescent="0.25">
      <c r="A144" s="94">
        <v>1006</v>
      </c>
      <c r="B144" s="95">
        <v>7525</v>
      </c>
      <c r="C144" s="7" t="s">
        <v>1314</v>
      </c>
      <c r="D144" s="24">
        <v>2121.3200000000002</v>
      </c>
    </row>
    <row r="145" spans="1:4" x14ac:dyDescent="0.25">
      <c r="A145" s="94">
        <v>1006</v>
      </c>
      <c r="B145" s="95">
        <v>7555</v>
      </c>
      <c r="C145" s="7" t="s">
        <v>1295</v>
      </c>
      <c r="D145" s="23">
        <v>68.849999999999994</v>
      </c>
    </row>
    <row r="146" spans="1:4" x14ac:dyDescent="0.25">
      <c r="A146" s="94">
        <v>1006</v>
      </c>
      <c r="B146" s="95">
        <v>6087</v>
      </c>
      <c r="C146" s="76" t="s">
        <v>399</v>
      </c>
      <c r="D146" s="79">
        <v>-1988.04</v>
      </c>
    </row>
    <row r="147" spans="1:4" x14ac:dyDescent="0.25">
      <c r="A147" s="94">
        <v>1006</v>
      </c>
      <c r="B147" s="95">
        <v>7601</v>
      </c>
      <c r="C147" s="7" t="s">
        <v>1295</v>
      </c>
      <c r="D147" s="23">
        <v>187.58</v>
      </c>
    </row>
    <row r="148" spans="1:4" x14ac:dyDescent="0.25">
      <c r="A148" s="94">
        <v>1106</v>
      </c>
      <c r="B148" s="95">
        <v>7613</v>
      </c>
      <c r="C148" s="7" t="s">
        <v>1295</v>
      </c>
      <c r="D148" s="24">
        <v>1110.81</v>
      </c>
    </row>
    <row r="149" spans="1:4" x14ac:dyDescent="0.25">
      <c r="A149" s="94">
        <v>1106</v>
      </c>
      <c r="B149" s="95">
        <v>7687</v>
      </c>
      <c r="C149" s="7" t="s">
        <v>1299</v>
      </c>
      <c r="D149" s="24">
        <v>67.69</v>
      </c>
    </row>
    <row r="150" spans="1:4" x14ac:dyDescent="0.25">
      <c r="A150" s="94">
        <v>1206</v>
      </c>
      <c r="B150" s="95">
        <v>6164</v>
      </c>
      <c r="C150" s="76" t="s">
        <v>402</v>
      </c>
      <c r="D150" s="79">
        <v>1283.67</v>
      </c>
    </row>
    <row r="151" spans="1:4" x14ac:dyDescent="0.25">
      <c r="A151" s="94">
        <v>1206</v>
      </c>
      <c r="B151" s="95">
        <v>6165</v>
      </c>
      <c r="C151" s="76" t="s">
        <v>402</v>
      </c>
      <c r="D151" s="79">
        <v>3493.5</v>
      </c>
    </row>
    <row r="152" spans="1:4" x14ac:dyDescent="0.25">
      <c r="A152" s="94">
        <v>1206</v>
      </c>
      <c r="B152" s="95">
        <v>6166</v>
      </c>
      <c r="C152" s="76" t="s">
        <v>402</v>
      </c>
      <c r="D152" s="79">
        <v>1558.39</v>
      </c>
    </row>
    <row r="153" spans="1:4" x14ac:dyDescent="0.25">
      <c r="A153" s="94">
        <v>1206</v>
      </c>
      <c r="B153" s="95">
        <v>6169</v>
      </c>
      <c r="C153" s="76" t="s">
        <v>402</v>
      </c>
      <c r="D153" s="79">
        <v>4610.34</v>
      </c>
    </row>
    <row r="154" spans="1:4" x14ac:dyDescent="0.25">
      <c r="A154" s="94">
        <v>1206</v>
      </c>
      <c r="B154" s="95">
        <v>6299</v>
      </c>
      <c r="C154" s="76" t="s">
        <v>405</v>
      </c>
      <c r="D154" s="79">
        <v>30</v>
      </c>
    </row>
    <row r="155" spans="1:4" x14ac:dyDescent="0.25">
      <c r="A155" s="94">
        <v>1206</v>
      </c>
      <c r="B155" s="95">
        <v>6303</v>
      </c>
      <c r="C155" s="76" t="s">
        <v>406</v>
      </c>
      <c r="D155" s="79">
        <v>180</v>
      </c>
    </row>
    <row r="156" spans="1:4" x14ac:dyDescent="0.25">
      <c r="A156" s="94">
        <v>1306</v>
      </c>
      <c r="B156" s="95">
        <v>7814</v>
      </c>
      <c r="C156" s="7" t="s">
        <v>1295</v>
      </c>
      <c r="D156" s="23">
        <v>55.5</v>
      </c>
    </row>
    <row r="157" spans="1:4" x14ac:dyDescent="0.25">
      <c r="A157" s="94">
        <v>1306</v>
      </c>
      <c r="B157" s="95">
        <v>7713</v>
      </c>
      <c r="C157" s="7" t="s">
        <v>1298</v>
      </c>
      <c r="D157" s="24">
        <v>33.18</v>
      </c>
    </row>
    <row r="158" spans="1:4" x14ac:dyDescent="0.25">
      <c r="A158" s="94">
        <v>1306</v>
      </c>
      <c r="B158" s="95">
        <v>7901</v>
      </c>
      <c r="C158" s="7" t="s">
        <v>1295</v>
      </c>
      <c r="D158" s="23">
        <v>555.5</v>
      </c>
    </row>
    <row r="159" spans="1:4" x14ac:dyDescent="0.25">
      <c r="A159" s="94">
        <v>1706</v>
      </c>
      <c r="B159" s="15" t="s">
        <v>1331</v>
      </c>
      <c r="C159" s="76" t="s">
        <v>1332</v>
      </c>
      <c r="D159" s="24">
        <v>1064.3800000000001</v>
      </c>
    </row>
    <row r="160" spans="1:4" x14ac:dyDescent="0.25">
      <c r="A160" s="94">
        <v>1706</v>
      </c>
      <c r="B160" s="15" t="s">
        <v>1333</v>
      </c>
      <c r="C160" s="76" t="s">
        <v>1334</v>
      </c>
      <c r="D160" s="24">
        <v>80</v>
      </c>
    </row>
    <row r="161" spans="1:4" x14ac:dyDescent="0.25">
      <c r="A161" s="94">
        <v>1706</v>
      </c>
      <c r="B161" s="15" t="s">
        <v>1335</v>
      </c>
      <c r="C161" s="76" t="s">
        <v>1336</v>
      </c>
      <c r="D161" s="23">
        <v>169</v>
      </c>
    </row>
    <row r="162" spans="1:4" x14ac:dyDescent="0.25">
      <c r="A162" s="94">
        <v>1706</v>
      </c>
      <c r="B162" s="15" t="s">
        <v>1337</v>
      </c>
      <c r="C162" s="76" t="s">
        <v>1338</v>
      </c>
      <c r="D162" s="23">
        <v>8.7799999999999976</v>
      </c>
    </row>
    <row r="163" spans="1:4" x14ac:dyDescent="0.25">
      <c r="A163" s="94">
        <v>1706</v>
      </c>
      <c r="B163" s="15" t="s">
        <v>1339</v>
      </c>
      <c r="C163" s="76" t="s">
        <v>1338</v>
      </c>
      <c r="D163" s="23">
        <v>20</v>
      </c>
    </row>
    <row r="164" spans="1:4" x14ac:dyDescent="0.25">
      <c r="A164" s="94">
        <v>2406</v>
      </c>
      <c r="B164" s="10"/>
      <c r="C164" s="7" t="s">
        <v>1340</v>
      </c>
      <c r="D164" s="23">
        <f>550+400+400+400+550+400+400+400</f>
        <v>3500</v>
      </c>
    </row>
    <row r="165" spans="1:4" x14ac:dyDescent="0.25">
      <c r="A165" s="94">
        <v>2406</v>
      </c>
      <c r="B165" s="71"/>
      <c r="C165" s="7" t="s">
        <v>1341</v>
      </c>
      <c r="D165" s="23">
        <f>(250*12)+400+400+400</f>
        <v>4200</v>
      </c>
    </row>
    <row r="166" spans="1:4" x14ac:dyDescent="0.25">
      <c r="A166" s="94">
        <v>2406</v>
      </c>
      <c r="B166" s="10"/>
      <c r="C166" s="10" t="s">
        <v>1329</v>
      </c>
      <c r="D166" s="23">
        <v>1200</v>
      </c>
    </row>
    <row r="167" spans="1:4" x14ac:dyDescent="0.25">
      <c r="A167" s="94">
        <v>207</v>
      </c>
      <c r="B167" s="95">
        <v>8296</v>
      </c>
      <c r="C167" s="7" t="s">
        <v>1295</v>
      </c>
      <c r="D167" s="23">
        <v>589.62</v>
      </c>
    </row>
    <row r="168" spans="1:4" x14ac:dyDescent="0.25">
      <c r="A168" s="94">
        <v>207</v>
      </c>
      <c r="B168" s="95">
        <v>8301</v>
      </c>
      <c r="C168" s="7" t="s">
        <v>1295</v>
      </c>
      <c r="D168" s="23">
        <v>33.26</v>
      </c>
    </row>
    <row r="169" spans="1:4" x14ac:dyDescent="0.25">
      <c r="A169" s="94">
        <v>207</v>
      </c>
      <c r="B169" s="95">
        <v>8461</v>
      </c>
      <c r="C169" s="7" t="s">
        <v>1295</v>
      </c>
      <c r="D169" s="23">
        <v>122.86000000000001</v>
      </c>
    </row>
    <row r="170" spans="1:4" x14ac:dyDescent="0.25">
      <c r="A170" s="94">
        <v>207</v>
      </c>
      <c r="B170" s="95">
        <v>8480</v>
      </c>
      <c r="C170" s="7" t="s">
        <v>1303</v>
      </c>
      <c r="D170" s="23">
        <v>22.9</v>
      </c>
    </row>
    <row r="171" spans="1:4" x14ac:dyDescent="0.25">
      <c r="A171" s="94">
        <v>207</v>
      </c>
      <c r="B171" s="95">
        <v>8491</v>
      </c>
      <c r="C171" s="7" t="s">
        <v>1299</v>
      </c>
      <c r="D171" s="24">
        <v>68.38</v>
      </c>
    </row>
    <row r="172" spans="1:4" x14ac:dyDescent="0.25">
      <c r="A172" s="94">
        <v>307</v>
      </c>
      <c r="B172" s="95">
        <v>8543</v>
      </c>
      <c r="C172" s="7" t="s">
        <v>1300</v>
      </c>
      <c r="D172" s="24">
        <v>45.8</v>
      </c>
    </row>
    <row r="173" spans="1:4" x14ac:dyDescent="0.25">
      <c r="A173" s="94">
        <v>407</v>
      </c>
      <c r="B173" s="95">
        <v>7397</v>
      </c>
      <c r="C173" s="76" t="s">
        <v>431</v>
      </c>
      <c r="D173" s="79">
        <v>23.76</v>
      </c>
    </row>
    <row r="174" spans="1:4" x14ac:dyDescent="0.25">
      <c r="A174" s="94">
        <v>407</v>
      </c>
      <c r="B174" s="95">
        <v>7398</v>
      </c>
      <c r="C174" s="76" t="s">
        <v>432</v>
      </c>
      <c r="D174" s="79">
        <v>456.68</v>
      </c>
    </row>
    <row r="175" spans="1:4" x14ac:dyDescent="0.25">
      <c r="A175" s="94">
        <v>407</v>
      </c>
      <c r="B175" s="10"/>
      <c r="C175" s="10" t="s">
        <v>1342</v>
      </c>
      <c r="D175" s="23">
        <v>409.12</v>
      </c>
    </row>
    <row r="176" spans="1:4" x14ac:dyDescent="0.25">
      <c r="A176" s="94">
        <v>407</v>
      </c>
      <c r="B176" s="10" t="s">
        <v>1343</v>
      </c>
      <c r="C176" s="76" t="s">
        <v>1344</v>
      </c>
      <c r="D176" s="23">
        <v>3.9</v>
      </c>
    </row>
    <row r="177" spans="1:7" x14ac:dyDescent="0.25">
      <c r="A177" s="94">
        <v>407</v>
      </c>
      <c r="B177" s="10" t="s">
        <v>1345</v>
      </c>
      <c r="C177" s="76" t="s">
        <v>1346</v>
      </c>
      <c r="D177" s="23">
        <v>89.489999999999981</v>
      </c>
    </row>
    <row r="178" spans="1:7" x14ac:dyDescent="0.25">
      <c r="A178" s="94">
        <v>407</v>
      </c>
      <c r="B178" s="10" t="s">
        <v>1347</v>
      </c>
      <c r="C178" s="76" t="s">
        <v>1348</v>
      </c>
      <c r="D178" s="23">
        <v>10.8</v>
      </c>
    </row>
    <row r="179" spans="1:7" x14ac:dyDescent="0.25">
      <c r="A179" s="94">
        <v>407</v>
      </c>
      <c r="B179" s="10" t="s">
        <v>1349</v>
      </c>
      <c r="C179" s="76" t="s">
        <v>1350</v>
      </c>
      <c r="D179" s="23">
        <v>108.3</v>
      </c>
    </row>
    <row r="180" spans="1:7" x14ac:dyDescent="0.25">
      <c r="A180" s="94">
        <v>407</v>
      </c>
      <c r="B180" s="10" t="s">
        <v>1351</v>
      </c>
      <c r="C180" s="76" t="s">
        <v>1352</v>
      </c>
      <c r="D180" s="23">
        <v>20</v>
      </c>
    </row>
    <row r="181" spans="1:7" x14ac:dyDescent="0.25">
      <c r="A181" s="94">
        <v>407</v>
      </c>
      <c r="B181" s="10" t="s">
        <v>1353</v>
      </c>
      <c r="C181" s="76" t="s">
        <v>1354</v>
      </c>
      <c r="D181" s="23">
        <v>59.95</v>
      </c>
    </row>
    <row r="182" spans="1:7" x14ac:dyDescent="0.25">
      <c r="A182" s="94">
        <v>407</v>
      </c>
      <c r="B182" s="10" t="s">
        <v>1355</v>
      </c>
      <c r="C182" s="76" t="s">
        <v>1356</v>
      </c>
      <c r="D182" s="23">
        <v>983</v>
      </c>
    </row>
    <row r="183" spans="1:7" x14ac:dyDescent="0.25">
      <c r="A183" s="94">
        <v>407</v>
      </c>
      <c r="B183" s="10" t="s">
        <v>1357</v>
      </c>
      <c r="C183" s="76" t="s">
        <v>1358</v>
      </c>
      <c r="D183" s="23">
        <v>27.3</v>
      </c>
    </row>
    <row r="184" spans="1:7" x14ac:dyDescent="0.25">
      <c r="A184" s="94">
        <v>407</v>
      </c>
      <c r="B184" s="10" t="s">
        <v>1359</v>
      </c>
      <c r="C184" s="76" t="s">
        <v>1360</v>
      </c>
      <c r="D184" s="23">
        <v>552</v>
      </c>
      <c r="G184" s="93"/>
    </row>
    <row r="185" spans="1:7" x14ac:dyDescent="0.25">
      <c r="A185" s="94">
        <v>1107</v>
      </c>
      <c r="B185" s="95">
        <v>8946</v>
      </c>
      <c r="C185" s="7" t="s">
        <v>1300</v>
      </c>
      <c r="D185" s="23">
        <v>13.47</v>
      </c>
    </row>
    <row r="186" spans="1:7" x14ac:dyDescent="0.25">
      <c r="A186" s="94">
        <v>1107</v>
      </c>
      <c r="B186" s="95">
        <v>7759</v>
      </c>
      <c r="C186" s="76" t="s">
        <v>439</v>
      </c>
      <c r="D186" s="79">
        <v>900</v>
      </c>
    </row>
    <row r="187" spans="1:7" x14ac:dyDescent="0.25">
      <c r="A187" s="94">
        <v>1107</v>
      </c>
      <c r="B187" s="95">
        <v>7762</v>
      </c>
      <c r="C187" s="76" t="s">
        <v>440</v>
      </c>
      <c r="D187" s="79">
        <v>3936</v>
      </c>
    </row>
    <row r="188" spans="1:7" x14ac:dyDescent="0.25">
      <c r="A188" s="94">
        <v>1207</v>
      </c>
      <c r="B188" s="95">
        <v>9010</v>
      </c>
      <c r="C188" s="7" t="s">
        <v>1298</v>
      </c>
      <c r="D188" s="23">
        <v>182.71</v>
      </c>
    </row>
    <row r="189" spans="1:7" x14ac:dyDescent="0.25">
      <c r="A189" s="5">
        <v>43662</v>
      </c>
      <c r="B189" s="95"/>
      <c r="C189" s="7" t="s">
        <v>1361</v>
      </c>
      <c r="D189" s="24">
        <v>3774.31</v>
      </c>
    </row>
    <row r="190" spans="1:7" x14ac:dyDescent="0.25">
      <c r="A190" s="94">
        <v>1607</v>
      </c>
      <c r="B190" s="10"/>
      <c r="C190" s="7" t="s">
        <v>1362</v>
      </c>
      <c r="D190" s="23">
        <f>400+400+160+160+400+160+400</f>
        <v>2080</v>
      </c>
    </row>
    <row r="191" spans="1:7" x14ac:dyDescent="0.25">
      <c r="A191" s="94">
        <v>1607</v>
      </c>
      <c r="B191" s="71"/>
      <c r="C191" s="7" t="s">
        <v>1363</v>
      </c>
      <c r="D191" s="23">
        <f>(161*12)+400+400+400+266</f>
        <v>3398</v>
      </c>
    </row>
    <row r="192" spans="1:7" x14ac:dyDescent="0.25">
      <c r="A192" s="94">
        <v>1607</v>
      </c>
      <c r="B192" s="71"/>
      <c r="C192" s="10" t="s">
        <v>1364</v>
      </c>
      <c r="D192" s="23">
        <v>-4000</v>
      </c>
    </row>
    <row r="193" spans="1:4" x14ac:dyDescent="0.25">
      <c r="A193" s="94">
        <v>1607</v>
      </c>
      <c r="B193" s="95">
        <v>9108</v>
      </c>
      <c r="C193" s="7" t="s">
        <v>1299</v>
      </c>
      <c r="D193" s="23">
        <v>10.86</v>
      </c>
    </row>
    <row r="194" spans="1:4" x14ac:dyDescent="0.25">
      <c r="A194" s="94">
        <v>1607</v>
      </c>
      <c r="B194" s="95">
        <v>9110</v>
      </c>
      <c r="C194" s="7" t="s">
        <v>1365</v>
      </c>
      <c r="D194" s="23">
        <v>13.64</v>
      </c>
    </row>
    <row r="195" spans="1:4" x14ac:dyDescent="0.25">
      <c r="A195" s="94">
        <v>1607</v>
      </c>
      <c r="B195" s="95">
        <v>9104</v>
      </c>
      <c r="C195" s="7" t="s">
        <v>1314</v>
      </c>
      <c r="D195" s="24">
        <v>630</v>
      </c>
    </row>
    <row r="196" spans="1:4" x14ac:dyDescent="0.25">
      <c r="A196" s="5">
        <v>43662</v>
      </c>
      <c r="B196" s="95"/>
      <c r="C196" s="7" t="s">
        <v>1366</v>
      </c>
      <c r="D196" s="24">
        <v>1484</v>
      </c>
    </row>
    <row r="197" spans="1:4" x14ac:dyDescent="0.25">
      <c r="A197" s="5">
        <v>43663</v>
      </c>
      <c r="B197" s="95">
        <v>9166</v>
      </c>
      <c r="C197" s="10" t="s">
        <v>1295</v>
      </c>
      <c r="D197" s="23">
        <v>568.58000000000004</v>
      </c>
    </row>
    <row r="198" spans="1:4" x14ac:dyDescent="0.25">
      <c r="A198" s="5">
        <v>43663</v>
      </c>
      <c r="B198" s="95">
        <v>9195</v>
      </c>
      <c r="C198" s="10" t="s">
        <v>1295</v>
      </c>
      <c r="D198" s="23">
        <v>57.82</v>
      </c>
    </row>
    <row r="199" spans="1:4" x14ac:dyDescent="0.25">
      <c r="A199" s="5">
        <v>43664</v>
      </c>
      <c r="B199" s="95">
        <v>9208</v>
      </c>
      <c r="C199" s="10" t="s">
        <v>1295</v>
      </c>
      <c r="D199" s="23">
        <v>307.57</v>
      </c>
    </row>
    <row r="200" spans="1:4" x14ac:dyDescent="0.25">
      <c r="A200" s="5">
        <v>43664</v>
      </c>
      <c r="B200" s="95">
        <v>9221</v>
      </c>
      <c r="C200" s="10" t="s">
        <v>1295</v>
      </c>
      <c r="D200" s="23">
        <v>148.47999999999999</v>
      </c>
    </row>
    <row r="201" spans="1:4" x14ac:dyDescent="0.25">
      <c r="A201" s="5">
        <v>43664</v>
      </c>
      <c r="B201" s="15"/>
      <c r="C201" s="7" t="s">
        <v>1367</v>
      </c>
      <c r="D201" s="24">
        <v>50</v>
      </c>
    </row>
    <row r="202" spans="1:4" x14ac:dyDescent="0.25">
      <c r="A202" s="5">
        <v>43664</v>
      </c>
      <c r="B202" s="71"/>
      <c r="C202" s="10" t="s">
        <v>1368</v>
      </c>
      <c r="D202" s="23">
        <v>2.12</v>
      </c>
    </row>
    <row r="203" spans="1:4" x14ac:dyDescent="0.25">
      <c r="A203" s="5">
        <v>43665</v>
      </c>
      <c r="B203" s="95">
        <v>8260</v>
      </c>
      <c r="C203" s="76" t="s">
        <v>449</v>
      </c>
      <c r="D203" s="79">
        <v>275</v>
      </c>
    </row>
    <row r="204" spans="1:4" x14ac:dyDescent="0.25">
      <c r="A204" s="5">
        <v>43665</v>
      </c>
      <c r="B204" s="95">
        <v>8269</v>
      </c>
      <c r="C204" s="76" t="s">
        <v>450</v>
      </c>
      <c r="D204" s="79">
        <v>160</v>
      </c>
    </row>
    <row r="205" spans="1:4" x14ac:dyDescent="0.25">
      <c r="A205" s="5">
        <v>43665</v>
      </c>
      <c r="B205" s="95">
        <v>9293</v>
      </c>
      <c r="C205" s="10" t="s">
        <v>1295</v>
      </c>
      <c r="D205" s="23">
        <v>17</v>
      </c>
    </row>
    <row r="206" spans="1:4" x14ac:dyDescent="0.25">
      <c r="A206" s="5">
        <v>43669</v>
      </c>
      <c r="B206" s="6" t="s">
        <v>1369</v>
      </c>
      <c r="C206" s="10" t="s">
        <v>1295</v>
      </c>
      <c r="D206" s="24">
        <v>25.78</v>
      </c>
    </row>
    <row r="207" spans="1:4" x14ac:dyDescent="0.25">
      <c r="A207" s="5">
        <v>43669</v>
      </c>
      <c r="B207" s="6" t="s">
        <v>1370</v>
      </c>
      <c r="C207" s="10" t="s">
        <v>1295</v>
      </c>
      <c r="D207" s="24">
        <v>38.42</v>
      </c>
    </row>
    <row r="208" spans="1:4" x14ac:dyDescent="0.25">
      <c r="A208" s="5">
        <v>43670</v>
      </c>
      <c r="B208" s="6" t="s">
        <v>1371</v>
      </c>
      <c r="C208" s="10" t="s">
        <v>1295</v>
      </c>
      <c r="D208" s="24">
        <v>83.129999999999981</v>
      </c>
    </row>
    <row r="209" spans="1:4" x14ac:dyDescent="0.25">
      <c r="A209" s="5">
        <v>43670</v>
      </c>
      <c r="B209" s="6" t="s">
        <v>1372</v>
      </c>
      <c r="C209" s="10" t="s">
        <v>1295</v>
      </c>
      <c r="D209" s="23">
        <v>39</v>
      </c>
    </row>
    <row r="210" spans="1:4" x14ac:dyDescent="0.25">
      <c r="A210" s="5">
        <v>43670</v>
      </c>
      <c r="B210" s="6" t="s">
        <v>1373</v>
      </c>
      <c r="C210" s="10" t="s">
        <v>1300</v>
      </c>
      <c r="D210" s="23">
        <v>158.1</v>
      </c>
    </row>
    <row r="211" spans="1:4" x14ac:dyDescent="0.25">
      <c r="A211" s="5">
        <v>43671</v>
      </c>
      <c r="B211" s="6" t="s">
        <v>1374</v>
      </c>
      <c r="C211" s="10" t="s">
        <v>1375</v>
      </c>
      <c r="D211" s="23">
        <v>232.99</v>
      </c>
    </row>
    <row r="212" spans="1:4" x14ac:dyDescent="0.25">
      <c r="A212" s="5">
        <v>43671</v>
      </c>
      <c r="B212" s="6" t="s">
        <v>1376</v>
      </c>
      <c r="C212" s="10" t="s">
        <v>1295</v>
      </c>
      <c r="D212" s="23">
        <v>49.01</v>
      </c>
    </row>
    <row r="213" spans="1:4" x14ac:dyDescent="0.25">
      <c r="A213" s="5">
        <v>43671</v>
      </c>
      <c r="B213" s="6" t="s">
        <v>1377</v>
      </c>
      <c r="C213" s="10" t="s">
        <v>1295</v>
      </c>
      <c r="D213" s="23">
        <v>1061.8</v>
      </c>
    </row>
    <row r="214" spans="1:4" x14ac:dyDescent="0.25">
      <c r="A214" s="5">
        <v>43678</v>
      </c>
      <c r="B214" s="95">
        <v>9720</v>
      </c>
      <c r="C214" s="10" t="s">
        <v>1295</v>
      </c>
      <c r="D214" s="23">
        <v>646.54999999999995</v>
      </c>
    </row>
    <row r="215" spans="1:4" x14ac:dyDescent="0.25">
      <c r="A215" s="5">
        <v>43678</v>
      </c>
      <c r="B215" s="95">
        <v>8756</v>
      </c>
      <c r="C215" s="76" t="s">
        <v>458</v>
      </c>
      <c r="D215" s="79">
        <v>1508.11</v>
      </c>
    </row>
    <row r="216" spans="1:4" x14ac:dyDescent="0.25">
      <c r="A216" s="5">
        <v>43678</v>
      </c>
      <c r="B216" s="95">
        <v>8757</v>
      </c>
      <c r="C216" s="76" t="s">
        <v>459</v>
      </c>
      <c r="D216" s="79">
        <v>2310</v>
      </c>
    </row>
    <row r="217" spans="1:4" x14ac:dyDescent="0.25">
      <c r="A217" s="94">
        <v>108</v>
      </c>
      <c r="B217" s="95">
        <v>9749</v>
      </c>
      <c r="C217" s="7" t="s">
        <v>1303</v>
      </c>
      <c r="D217" s="24">
        <v>22.9</v>
      </c>
    </row>
    <row r="218" spans="1:4" x14ac:dyDescent="0.25">
      <c r="A218" s="5">
        <v>43679</v>
      </c>
      <c r="B218" s="95">
        <v>9810</v>
      </c>
      <c r="C218" s="10" t="s">
        <v>1295</v>
      </c>
      <c r="D218" s="23">
        <v>55.35</v>
      </c>
    </row>
    <row r="219" spans="1:4" x14ac:dyDescent="0.25">
      <c r="A219" s="5">
        <v>43679</v>
      </c>
      <c r="B219" s="95">
        <v>9827</v>
      </c>
      <c r="C219" s="10" t="s">
        <v>1295</v>
      </c>
      <c r="D219" s="23">
        <v>310.97000000000003</v>
      </c>
    </row>
    <row r="220" spans="1:4" x14ac:dyDescent="0.25">
      <c r="A220" s="5">
        <v>43682</v>
      </c>
      <c r="B220" s="95">
        <v>9844</v>
      </c>
      <c r="C220" s="10" t="s">
        <v>1295</v>
      </c>
      <c r="D220" s="23">
        <v>112.72000000000001</v>
      </c>
    </row>
    <row r="221" spans="1:4" x14ac:dyDescent="0.25">
      <c r="A221" s="5">
        <v>43683</v>
      </c>
      <c r="B221" s="95">
        <v>8863</v>
      </c>
      <c r="C221" s="76" t="s">
        <v>460</v>
      </c>
      <c r="D221" s="79">
        <v>3222</v>
      </c>
    </row>
    <row r="222" spans="1:4" x14ac:dyDescent="0.25">
      <c r="A222" s="94">
        <v>608</v>
      </c>
      <c r="B222" s="15" t="s">
        <v>1378</v>
      </c>
      <c r="C222" s="76" t="s">
        <v>1379</v>
      </c>
      <c r="D222" s="23">
        <v>5.8</v>
      </c>
    </row>
    <row r="223" spans="1:4" x14ac:dyDescent="0.25">
      <c r="A223" s="94">
        <v>608</v>
      </c>
      <c r="B223" s="15" t="s">
        <v>1380</v>
      </c>
      <c r="C223" s="76" t="s">
        <v>1381</v>
      </c>
      <c r="D223" s="23">
        <f>307.86+134.8</f>
        <v>442.66</v>
      </c>
    </row>
    <row r="224" spans="1:4" x14ac:dyDescent="0.25">
      <c r="A224" s="94">
        <v>608</v>
      </c>
      <c r="B224" s="15" t="s">
        <v>1382</v>
      </c>
      <c r="C224" s="76" t="s">
        <v>1383</v>
      </c>
      <c r="D224" s="23">
        <v>5.9</v>
      </c>
    </row>
    <row r="225" spans="1:4" x14ac:dyDescent="0.25">
      <c r="A225" s="94">
        <v>608</v>
      </c>
      <c r="B225" s="15" t="s">
        <v>1384</v>
      </c>
      <c r="C225" s="76" t="s">
        <v>1385</v>
      </c>
      <c r="D225" s="23">
        <f>145+13</f>
        <v>158</v>
      </c>
    </row>
    <row r="226" spans="1:4" x14ac:dyDescent="0.25">
      <c r="A226" s="94">
        <v>608</v>
      </c>
      <c r="B226" s="15" t="s">
        <v>1386</v>
      </c>
      <c r="C226" s="76" t="s">
        <v>1387</v>
      </c>
      <c r="D226" s="23">
        <v>8.4</v>
      </c>
    </row>
    <row r="227" spans="1:4" x14ac:dyDescent="0.25">
      <c r="A227" s="94">
        <v>608</v>
      </c>
      <c r="B227" s="15" t="s">
        <v>1388</v>
      </c>
      <c r="C227" s="76" t="s">
        <v>1389</v>
      </c>
      <c r="D227" s="23">
        <v>80.400000000000006</v>
      </c>
    </row>
    <row r="228" spans="1:4" x14ac:dyDescent="0.25">
      <c r="A228" s="94">
        <v>608</v>
      </c>
      <c r="B228" s="15" t="s">
        <v>1390</v>
      </c>
      <c r="C228" s="76" t="s">
        <v>1391</v>
      </c>
      <c r="D228" s="23">
        <v>22.16</v>
      </c>
    </row>
    <row r="229" spans="1:4" x14ac:dyDescent="0.25">
      <c r="A229" s="94">
        <v>608</v>
      </c>
      <c r="B229" s="15" t="s">
        <v>1392</v>
      </c>
      <c r="C229" s="76" t="s">
        <v>1393</v>
      </c>
      <c r="D229" s="23">
        <v>13.5</v>
      </c>
    </row>
    <row r="230" spans="1:4" x14ac:dyDescent="0.25">
      <c r="A230" s="5">
        <v>43685</v>
      </c>
      <c r="B230" s="95">
        <v>10101</v>
      </c>
      <c r="C230" s="10" t="s">
        <v>1375</v>
      </c>
      <c r="D230" s="23">
        <v>2143.31</v>
      </c>
    </row>
    <row r="231" spans="1:4" x14ac:dyDescent="0.25">
      <c r="A231" s="68">
        <v>1408</v>
      </c>
      <c r="B231" s="71"/>
      <c r="C231" s="10" t="s">
        <v>1394</v>
      </c>
      <c r="D231" s="23">
        <v>5</v>
      </c>
    </row>
    <row r="232" spans="1:4" x14ac:dyDescent="0.25">
      <c r="A232" s="68">
        <v>1408</v>
      </c>
      <c r="B232" s="71"/>
      <c r="C232" s="10" t="s">
        <v>1395</v>
      </c>
      <c r="D232" s="23">
        <v>55</v>
      </c>
    </row>
    <row r="233" spans="1:4" x14ac:dyDescent="0.25">
      <c r="A233" s="68">
        <v>1408</v>
      </c>
      <c r="B233" s="71"/>
      <c r="C233" s="10" t="s">
        <v>1396</v>
      </c>
      <c r="D233" s="23">
        <v>15</v>
      </c>
    </row>
    <row r="234" spans="1:4" x14ac:dyDescent="0.25">
      <c r="A234" s="68">
        <v>1408</v>
      </c>
      <c r="B234" s="95">
        <v>952</v>
      </c>
      <c r="C234" s="10" t="s">
        <v>1397</v>
      </c>
      <c r="D234" s="23">
        <v>18000</v>
      </c>
    </row>
    <row r="235" spans="1:4" x14ac:dyDescent="0.25">
      <c r="A235" s="5">
        <v>43691</v>
      </c>
      <c r="B235" s="71"/>
      <c r="C235" s="10" t="s">
        <v>1398</v>
      </c>
      <c r="D235" s="23">
        <f>6.07+0.05</f>
        <v>6.12</v>
      </c>
    </row>
    <row r="236" spans="1:4" x14ac:dyDescent="0.25">
      <c r="A236" s="5">
        <v>43692</v>
      </c>
      <c r="B236" s="95">
        <v>10360</v>
      </c>
      <c r="C236" s="10" t="s">
        <v>1375</v>
      </c>
      <c r="D236" s="23">
        <v>93.09</v>
      </c>
    </row>
    <row r="237" spans="1:4" x14ac:dyDescent="0.25">
      <c r="A237" s="5">
        <v>43692</v>
      </c>
      <c r="B237" s="95">
        <v>10355</v>
      </c>
      <c r="C237" s="10" t="s">
        <v>1295</v>
      </c>
      <c r="D237" s="23">
        <v>160</v>
      </c>
    </row>
    <row r="238" spans="1:4" x14ac:dyDescent="0.25">
      <c r="A238" s="5">
        <v>43692</v>
      </c>
      <c r="B238" s="95">
        <v>10458</v>
      </c>
      <c r="C238" s="10" t="s">
        <v>1295</v>
      </c>
      <c r="D238" s="23">
        <v>59.7</v>
      </c>
    </row>
    <row r="239" spans="1:4" x14ac:dyDescent="0.25">
      <c r="A239" s="5">
        <v>43693</v>
      </c>
      <c r="B239" s="71"/>
      <c r="C239" s="10" t="s">
        <v>1399</v>
      </c>
      <c r="D239" s="23">
        <v>205.24</v>
      </c>
    </row>
    <row r="240" spans="1:4" x14ac:dyDescent="0.25">
      <c r="A240" s="5">
        <v>43696</v>
      </c>
      <c r="B240" s="95">
        <v>10570</v>
      </c>
      <c r="C240" s="10" t="s">
        <v>1295</v>
      </c>
      <c r="D240" s="23">
        <v>91.76</v>
      </c>
    </row>
    <row r="241" spans="1:4" x14ac:dyDescent="0.25">
      <c r="A241" s="5">
        <v>43696</v>
      </c>
      <c r="B241" s="95">
        <v>10591</v>
      </c>
      <c r="C241" s="10" t="s">
        <v>1303</v>
      </c>
      <c r="D241" s="23">
        <v>22.9</v>
      </c>
    </row>
    <row r="242" spans="1:4" x14ac:dyDescent="0.25">
      <c r="A242" s="5">
        <v>43696</v>
      </c>
      <c r="B242" s="95">
        <v>10616</v>
      </c>
      <c r="C242" s="10" t="s">
        <v>1295</v>
      </c>
      <c r="D242" s="23">
        <v>133.65</v>
      </c>
    </row>
    <row r="243" spans="1:4" x14ac:dyDescent="0.25">
      <c r="A243" s="5">
        <v>43697</v>
      </c>
      <c r="B243" s="95">
        <v>9659</v>
      </c>
      <c r="C243" s="76" t="s">
        <v>1400</v>
      </c>
      <c r="D243" s="79">
        <v>36.6</v>
      </c>
    </row>
    <row r="244" spans="1:4" x14ac:dyDescent="0.25">
      <c r="A244" s="5">
        <v>43697</v>
      </c>
      <c r="B244" s="95">
        <v>9660</v>
      </c>
      <c r="C244" s="76" t="s">
        <v>1400</v>
      </c>
      <c r="D244" s="79">
        <v>57.89</v>
      </c>
    </row>
    <row r="245" spans="1:4" x14ac:dyDescent="0.25">
      <c r="A245" s="5">
        <v>43697</v>
      </c>
      <c r="B245" s="95">
        <v>9726</v>
      </c>
      <c r="C245" s="76" t="s">
        <v>468</v>
      </c>
      <c r="D245" s="79">
        <v>326.8</v>
      </c>
    </row>
    <row r="246" spans="1:4" x14ac:dyDescent="0.25">
      <c r="A246" s="5">
        <v>43697</v>
      </c>
      <c r="B246" s="95">
        <v>10684</v>
      </c>
      <c r="C246" s="10" t="s">
        <v>1295</v>
      </c>
      <c r="D246" s="23">
        <v>223.23</v>
      </c>
    </row>
    <row r="247" spans="1:4" x14ac:dyDescent="0.25">
      <c r="A247" s="5">
        <v>43698</v>
      </c>
      <c r="B247" s="95">
        <v>10716</v>
      </c>
      <c r="C247" s="10" t="s">
        <v>1295</v>
      </c>
      <c r="D247" s="23">
        <v>89.549999999999983</v>
      </c>
    </row>
    <row r="248" spans="1:4" x14ac:dyDescent="0.25">
      <c r="A248" s="5">
        <v>43698</v>
      </c>
      <c r="B248" s="95">
        <v>10758</v>
      </c>
      <c r="C248" s="10" t="s">
        <v>1295</v>
      </c>
      <c r="D248" s="23">
        <v>26.95</v>
      </c>
    </row>
    <row r="249" spans="1:4" x14ac:dyDescent="0.25">
      <c r="A249" s="5">
        <v>43698</v>
      </c>
      <c r="B249" s="71"/>
      <c r="C249" s="10" t="s">
        <v>1401</v>
      </c>
      <c r="D249" s="23">
        <f>5+154+48+7.5+25+170+25+86.5+25</f>
        <v>546</v>
      </c>
    </row>
    <row r="250" spans="1:4" x14ac:dyDescent="0.25">
      <c r="A250" s="5">
        <v>43698</v>
      </c>
      <c r="B250" s="71"/>
      <c r="C250" s="10" t="s">
        <v>1402</v>
      </c>
      <c r="D250" s="23">
        <v>89</v>
      </c>
    </row>
    <row r="251" spans="1:4" x14ac:dyDescent="0.25">
      <c r="A251" s="5">
        <v>43698</v>
      </c>
      <c r="B251" s="71"/>
      <c r="C251" s="10" t="s">
        <v>1403</v>
      </c>
      <c r="D251" s="23">
        <f>42+198</f>
        <v>240</v>
      </c>
    </row>
    <row r="252" spans="1:4" x14ac:dyDescent="0.25">
      <c r="A252" s="5">
        <v>43699</v>
      </c>
      <c r="B252" s="95">
        <v>10832</v>
      </c>
      <c r="C252" s="10" t="s">
        <v>1375</v>
      </c>
      <c r="D252" s="23">
        <v>7.16</v>
      </c>
    </row>
    <row r="253" spans="1:4" x14ac:dyDescent="0.25">
      <c r="A253" s="94">
        <v>2208</v>
      </c>
      <c r="B253" s="10"/>
      <c r="C253" s="7" t="s">
        <v>1404</v>
      </c>
      <c r="D253" s="23">
        <v>2100</v>
      </c>
    </row>
    <row r="254" spans="1:4" x14ac:dyDescent="0.25">
      <c r="A254" s="94">
        <v>2208</v>
      </c>
      <c r="B254" s="71"/>
      <c r="C254" s="7" t="s">
        <v>1405</v>
      </c>
      <c r="D254" s="23">
        <v>3100</v>
      </c>
    </row>
    <row r="255" spans="1:4" x14ac:dyDescent="0.25">
      <c r="A255" s="5">
        <v>43700</v>
      </c>
      <c r="B255" s="95">
        <v>10868</v>
      </c>
      <c r="C255" s="10" t="s">
        <v>1375</v>
      </c>
      <c r="D255" s="80">
        <v>7.7699999999999987</v>
      </c>
    </row>
    <row r="256" spans="1:4" x14ac:dyDescent="0.25">
      <c r="A256" s="5">
        <v>43700</v>
      </c>
      <c r="B256" s="95">
        <v>10874</v>
      </c>
      <c r="C256" s="10" t="s">
        <v>1295</v>
      </c>
      <c r="D256" s="79">
        <v>443.3</v>
      </c>
    </row>
    <row r="257" spans="1:4" x14ac:dyDescent="0.25">
      <c r="A257" s="5">
        <v>43704</v>
      </c>
      <c r="B257" s="95">
        <v>10054</v>
      </c>
      <c r="C257" s="76" t="s">
        <v>473</v>
      </c>
      <c r="D257" s="79">
        <v>783.76</v>
      </c>
    </row>
    <row r="258" spans="1:4" x14ac:dyDescent="0.25">
      <c r="A258" s="5">
        <v>43705</v>
      </c>
      <c r="B258" s="95">
        <v>10232</v>
      </c>
      <c r="C258" s="76" t="s">
        <v>474</v>
      </c>
      <c r="D258" s="79">
        <v>1618.26</v>
      </c>
    </row>
    <row r="259" spans="1:4" x14ac:dyDescent="0.25">
      <c r="A259" s="5">
        <v>43705</v>
      </c>
      <c r="B259" s="95">
        <v>11088</v>
      </c>
      <c r="C259" s="10" t="s">
        <v>1365</v>
      </c>
      <c r="D259" s="80">
        <v>28.6</v>
      </c>
    </row>
    <row r="260" spans="1:4" x14ac:dyDescent="0.25">
      <c r="A260" s="5">
        <v>43706</v>
      </c>
      <c r="B260" s="71"/>
      <c r="C260" s="10" t="s">
        <v>1406</v>
      </c>
      <c r="D260" s="80">
        <v>956</v>
      </c>
    </row>
    <row r="261" spans="1:4" x14ac:dyDescent="0.25">
      <c r="A261" s="5">
        <v>43706</v>
      </c>
      <c r="B261" s="95">
        <v>925</v>
      </c>
      <c r="C261" s="10" t="s">
        <v>1407</v>
      </c>
      <c r="D261" s="23">
        <v>15000</v>
      </c>
    </row>
    <row r="262" spans="1:4" x14ac:dyDescent="0.25">
      <c r="A262" s="5">
        <v>43707</v>
      </c>
      <c r="B262" s="95">
        <v>11222</v>
      </c>
      <c r="C262" s="10" t="s">
        <v>1295</v>
      </c>
      <c r="D262" s="80">
        <v>506.42</v>
      </c>
    </row>
    <row r="263" spans="1:4" x14ac:dyDescent="0.25">
      <c r="A263" s="5">
        <v>43707</v>
      </c>
      <c r="B263" s="95">
        <v>11225</v>
      </c>
      <c r="C263" s="10" t="s">
        <v>1375</v>
      </c>
      <c r="D263" s="80">
        <v>23.53</v>
      </c>
    </row>
    <row r="264" spans="1:4" x14ac:dyDescent="0.25">
      <c r="A264" s="5">
        <v>43707</v>
      </c>
      <c r="B264" s="95">
        <v>10465</v>
      </c>
      <c r="C264" s="76" t="s">
        <v>477</v>
      </c>
      <c r="D264" s="79">
        <v>16662.189999999995</v>
      </c>
    </row>
    <row r="265" spans="1:4" x14ac:dyDescent="0.25">
      <c r="A265" s="5">
        <v>43707</v>
      </c>
      <c r="B265" s="95">
        <v>10466</v>
      </c>
      <c r="C265" s="76" t="s">
        <v>478</v>
      </c>
      <c r="D265" s="79">
        <v>5111.26</v>
      </c>
    </row>
    <row r="266" spans="1:4" x14ac:dyDescent="0.25">
      <c r="A266" s="5">
        <v>43707</v>
      </c>
      <c r="B266" s="95">
        <v>11265</v>
      </c>
      <c r="C266" s="10" t="s">
        <v>1300</v>
      </c>
      <c r="D266" s="80">
        <v>26.74</v>
      </c>
    </row>
    <row r="267" spans="1:4" x14ac:dyDescent="0.25">
      <c r="A267" s="5">
        <v>43710</v>
      </c>
      <c r="B267" s="95">
        <v>11323</v>
      </c>
      <c r="C267" s="10" t="s">
        <v>1295</v>
      </c>
      <c r="D267" s="80">
        <v>325.85000000000002</v>
      </c>
    </row>
    <row r="268" spans="1:4" x14ac:dyDescent="0.25">
      <c r="A268" s="5">
        <v>43710</v>
      </c>
      <c r="B268" s="95">
        <v>11342</v>
      </c>
      <c r="C268" s="10" t="s">
        <v>1300</v>
      </c>
      <c r="D268" s="80">
        <v>24.95</v>
      </c>
    </row>
    <row r="269" spans="1:4" x14ac:dyDescent="0.25">
      <c r="A269" s="5">
        <v>43711</v>
      </c>
      <c r="B269" s="95">
        <v>11369</v>
      </c>
      <c r="C269" s="10" t="s">
        <v>1295</v>
      </c>
      <c r="D269" s="80">
        <v>417.15</v>
      </c>
    </row>
    <row r="270" spans="1:4" x14ac:dyDescent="0.25">
      <c r="A270" s="5">
        <v>43711</v>
      </c>
      <c r="B270" s="95">
        <v>11385</v>
      </c>
      <c r="C270" s="10" t="s">
        <v>1295</v>
      </c>
      <c r="D270" s="80">
        <v>320.89999999999998</v>
      </c>
    </row>
    <row r="271" spans="1:4" x14ac:dyDescent="0.25">
      <c r="A271" s="5">
        <v>43711</v>
      </c>
      <c r="B271" s="95">
        <v>11389</v>
      </c>
      <c r="C271" s="10" t="s">
        <v>1300</v>
      </c>
      <c r="D271" s="23">
        <v>15.77</v>
      </c>
    </row>
    <row r="272" spans="1:4" x14ac:dyDescent="0.25">
      <c r="A272" s="5">
        <v>43711</v>
      </c>
      <c r="B272" s="95">
        <v>11416</v>
      </c>
      <c r="C272" s="10" t="s">
        <v>1295</v>
      </c>
      <c r="D272" s="80">
        <v>118.27</v>
      </c>
    </row>
    <row r="273" spans="1:4" x14ac:dyDescent="0.25">
      <c r="A273" s="5">
        <v>43712</v>
      </c>
      <c r="B273" s="95">
        <v>11443</v>
      </c>
      <c r="C273" s="10" t="s">
        <v>1295</v>
      </c>
      <c r="D273" s="23">
        <v>21.18</v>
      </c>
    </row>
    <row r="274" spans="1:4" x14ac:dyDescent="0.25">
      <c r="A274" s="94">
        <v>1608</v>
      </c>
      <c r="B274" s="71"/>
      <c r="C274" s="10" t="s">
        <v>1408</v>
      </c>
      <c r="D274" s="23">
        <v>647.82000000000005</v>
      </c>
    </row>
    <row r="275" spans="1:4" x14ac:dyDescent="0.25">
      <c r="A275" s="5">
        <v>43713</v>
      </c>
      <c r="B275" s="95">
        <v>11537</v>
      </c>
      <c r="C275" s="10" t="s">
        <v>1295</v>
      </c>
      <c r="D275" s="23">
        <v>651.41999999999996</v>
      </c>
    </row>
    <row r="276" spans="1:4" x14ac:dyDescent="0.25">
      <c r="A276" s="94">
        <v>509</v>
      </c>
      <c r="B276" s="95">
        <v>10831</v>
      </c>
      <c r="C276" s="76" t="s">
        <v>485</v>
      </c>
      <c r="D276" s="79">
        <v>1822.68</v>
      </c>
    </row>
    <row r="277" spans="1:4" x14ac:dyDescent="0.25">
      <c r="A277" s="94">
        <v>509</v>
      </c>
      <c r="B277" s="95">
        <v>10832</v>
      </c>
      <c r="C277" s="76" t="s">
        <v>486</v>
      </c>
      <c r="D277" s="79">
        <v>2559.6799999999998</v>
      </c>
    </row>
    <row r="278" spans="1:4" x14ac:dyDescent="0.25">
      <c r="A278" s="94">
        <v>509</v>
      </c>
      <c r="B278" s="95">
        <v>10827</v>
      </c>
      <c r="C278" s="76" t="s">
        <v>487</v>
      </c>
      <c r="D278" s="79">
        <v>2378.5</v>
      </c>
    </row>
    <row r="279" spans="1:4" x14ac:dyDescent="0.25">
      <c r="A279" s="94">
        <v>509</v>
      </c>
      <c r="B279" s="95">
        <v>10830</v>
      </c>
      <c r="C279" s="76" t="s">
        <v>488</v>
      </c>
      <c r="D279" s="79">
        <v>738.82</v>
      </c>
    </row>
    <row r="280" spans="1:4" x14ac:dyDescent="0.25">
      <c r="A280" s="94">
        <v>509</v>
      </c>
      <c r="B280" s="95">
        <v>10821</v>
      </c>
      <c r="C280" s="76" t="s">
        <v>489</v>
      </c>
      <c r="D280" s="79">
        <v>531.39</v>
      </c>
    </row>
    <row r="281" spans="1:4" x14ac:dyDescent="0.25">
      <c r="A281" s="94">
        <v>509</v>
      </c>
      <c r="B281" s="71"/>
      <c r="C281" s="10" t="s">
        <v>1409</v>
      </c>
      <c r="D281" s="80">
        <v>-9652.86</v>
      </c>
    </row>
    <row r="282" spans="1:4" x14ac:dyDescent="0.25">
      <c r="A282" s="94">
        <v>609</v>
      </c>
      <c r="B282" s="71"/>
      <c r="C282" s="10" t="s">
        <v>1410</v>
      </c>
      <c r="D282" s="80">
        <v>60</v>
      </c>
    </row>
    <row r="283" spans="1:4" x14ac:dyDescent="0.25">
      <c r="A283" s="5">
        <v>43714</v>
      </c>
      <c r="B283" s="95">
        <v>11584</v>
      </c>
      <c r="C283" s="10" t="s">
        <v>1295</v>
      </c>
      <c r="D283" s="80">
        <v>15.4</v>
      </c>
    </row>
    <row r="284" spans="1:4" x14ac:dyDescent="0.25">
      <c r="A284" s="5">
        <v>43714</v>
      </c>
      <c r="B284" s="95">
        <v>11587</v>
      </c>
      <c r="C284" s="10" t="s">
        <v>1300</v>
      </c>
      <c r="D284" s="80">
        <v>25.9</v>
      </c>
    </row>
    <row r="285" spans="1:4" x14ac:dyDescent="0.25">
      <c r="A285" s="5">
        <v>43714</v>
      </c>
      <c r="B285" s="71"/>
      <c r="C285" s="10" t="s">
        <v>1411</v>
      </c>
      <c r="D285" s="80">
        <v>-3600</v>
      </c>
    </row>
    <row r="286" spans="1:4" x14ac:dyDescent="0.25">
      <c r="A286" s="5">
        <v>43717</v>
      </c>
      <c r="B286" s="95">
        <v>11713</v>
      </c>
      <c r="C286" s="10" t="s">
        <v>1295</v>
      </c>
      <c r="D286" s="80">
        <v>342</v>
      </c>
    </row>
    <row r="287" spans="1:4" x14ac:dyDescent="0.25">
      <c r="A287" s="5">
        <v>43718</v>
      </c>
      <c r="B287" s="95">
        <v>11804</v>
      </c>
      <c r="C287" s="10" t="s">
        <v>1295</v>
      </c>
      <c r="D287" s="80">
        <v>20</v>
      </c>
    </row>
    <row r="288" spans="1:4" x14ac:dyDescent="0.25">
      <c r="A288" s="5">
        <v>43718</v>
      </c>
      <c r="B288" s="95">
        <v>11810</v>
      </c>
      <c r="C288" s="10" t="s">
        <v>1295</v>
      </c>
      <c r="D288" s="80">
        <v>515.47</v>
      </c>
    </row>
    <row r="289" spans="1:4" x14ac:dyDescent="0.25">
      <c r="A289" s="5">
        <v>43720</v>
      </c>
      <c r="B289" s="95"/>
      <c r="C289" s="10" t="s">
        <v>1412</v>
      </c>
      <c r="D289" s="80">
        <f>2.23+0.09</f>
        <v>2.3199999999999998</v>
      </c>
    </row>
    <row r="290" spans="1:4" x14ac:dyDescent="0.25">
      <c r="A290" s="5">
        <v>43721</v>
      </c>
      <c r="B290" s="95">
        <v>11953</v>
      </c>
      <c r="C290" s="10" t="s">
        <v>1375</v>
      </c>
      <c r="D290" s="80">
        <v>21.73</v>
      </c>
    </row>
    <row r="291" spans="1:4" x14ac:dyDescent="0.25">
      <c r="A291" s="5">
        <v>43721</v>
      </c>
      <c r="B291" s="95">
        <v>11982</v>
      </c>
      <c r="C291" s="10" t="s">
        <v>1375</v>
      </c>
      <c r="D291" s="80">
        <v>17</v>
      </c>
    </row>
    <row r="292" spans="1:4" x14ac:dyDescent="0.25">
      <c r="A292" s="5">
        <v>43721</v>
      </c>
      <c r="B292" s="95">
        <v>11940</v>
      </c>
      <c r="C292" s="10" t="s">
        <v>1295</v>
      </c>
      <c r="D292" s="80">
        <v>35.619999999999997</v>
      </c>
    </row>
    <row r="293" spans="1:4" x14ac:dyDescent="0.25">
      <c r="A293" s="5">
        <v>43721</v>
      </c>
      <c r="B293" s="95">
        <v>11987</v>
      </c>
      <c r="C293" s="10" t="s">
        <v>1303</v>
      </c>
      <c r="D293" s="80">
        <v>22.9</v>
      </c>
    </row>
    <row r="294" spans="1:4" x14ac:dyDescent="0.25">
      <c r="A294" s="5">
        <v>43721</v>
      </c>
      <c r="B294" s="95">
        <v>11989</v>
      </c>
      <c r="C294" s="10" t="s">
        <v>1303</v>
      </c>
      <c r="D294" s="80">
        <v>23.99</v>
      </c>
    </row>
    <row r="295" spans="1:4" x14ac:dyDescent="0.25">
      <c r="A295" s="5">
        <v>43721</v>
      </c>
      <c r="B295" s="95"/>
      <c r="C295" s="10" t="s">
        <v>1413</v>
      </c>
      <c r="D295" s="80">
        <v>-1000</v>
      </c>
    </row>
    <row r="296" spans="1:4" x14ac:dyDescent="0.25">
      <c r="A296" s="5">
        <v>43724</v>
      </c>
      <c r="B296" s="95">
        <v>12037</v>
      </c>
      <c r="C296" s="10" t="s">
        <v>1295</v>
      </c>
      <c r="D296" s="80">
        <v>8.8000000000000007</v>
      </c>
    </row>
    <row r="297" spans="1:4" x14ac:dyDescent="0.25">
      <c r="A297" s="5">
        <v>43725</v>
      </c>
      <c r="B297" s="95">
        <v>12114</v>
      </c>
      <c r="C297" s="10" t="s">
        <v>1375</v>
      </c>
      <c r="D297" s="80">
        <v>195.4</v>
      </c>
    </row>
    <row r="298" spans="1:4" x14ac:dyDescent="0.25">
      <c r="A298" s="5">
        <v>43725</v>
      </c>
      <c r="B298" s="95">
        <v>12123</v>
      </c>
      <c r="C298" s="10" t="s">
        <v>1295</v>
      </c>
      <c r="D298" s="80">
        <v>320.89999999999998</v>
      </c>
    </row>
    <row r="299" spans="1:4" x14ac:dyDescent="0.25">
      <c r="A299" s="5">
        <v>43725</v>
      </c>
      <c r="B299" s="95">
        <v>12138</v>
      </c>
      <c r="C299" s="10" t="s">
        <v>1295</v>
      </c>
      <c r="D299" s="80">
        <v>474.58</v>
      </c>
    </row>
    <row r="300" spans="1:4" x14ac:dyDescent="0.25">
      <c r="A300" s="5">
        <v>43725</v>
      </c>
      <c r="B300" s="95">
        <v>12140</v>
      </c>
      <c r="C300" s="10" t="s">
        <v>1295</v>
      </c>
      <c r="D300" s="80">
        <v>12.14</v>
      </c>
    </row>
    <row r="301" spans="1:4" x14ac:dyDescent="0.25">
      <c r="A301" s="5">
        <v>43725</v>
      </c>
      <c r="B301" s="95">
        <v>12150</v>
      </c>
      <c r="C301" s="10" t="s">
        <v>1298</v>
      </c>
      <c r="D301" s="80">
        <v>11.45</v>
      </c>
    </row>
    <row r="302" spans="1:4" x14ac:dyDescent="0.25">
      <c r="A302" s="5">
        <v>43725</v>
      </c>
      <c r="B302" s="95">
        <v>12972</v>
      </c>
      <c r="C302" s="10" t="s">
        <v>1298</v>
      </c>
      <c r="D302" s="80">
        <v>196.65</v>
      </c>
    </row>
    <row r="303" spans="1:4" x14ac:dyDescent="0.25">
      <c r="A303" s="5">
        <v>43725</v>
      </c>
      <c r="B303" s="95">
        <v>12157</v>
      </c>
      <c r="C303" s="10" t="s">
        <v>1300</v>
      </c>
      <c r="D303" s="80">
        <v>107.36000000000001</v>
      </c>
    </row>
    <row r="304" spans="1:4" x14ac:dyDescent="0.25">
      <c r="A304" s="5">
        <v>43725</v>
      </c>
      <c r="B304" s="95">
        <v>12160</v>
      </c>
      <c r="C304" s="10" t="s">
        <v>1300</v>
      </c>
      <c r="D304" s="80">
        <v>35.950000000000003</v>
      </c>
    </row>
    <row r="305" spans="1:4" x14ac:dyDescent="0.25">
      <c r="A305" s="5">
        <v>43726</v>
      </c>
      <c r="B305" s="95"/>
      <c r="C305" s="10" t="s">
        <v>1414</v>
      </c>
      <c r="D305" s="80">
        <v>-352.6</v>
      </c>
    </row>
    <row r="306" spans="1:4" x14ac:dyDescent="0.25">
      <c r="A306" s="5">
        <v>43726</v>
      </c>
      <c r="B306" s="95">
        <v>12223</v>
      </c>
      <c r="C306" s="10" t="s">
        <v>1375</v>
      </c>
      <c r="D306" s="80">
        <v>60.65</v>
      </c>
    </row>
    <row r="307" spans="1:4" x14ac:dyDescent="0.25">
      <c r="A307" s="5">
        <v>43726</v>
      </c>
      <c r="B307" s="95">
        <v>12232</v>
      </c>
      <c r="C307" s="10" t="s">
        <v>1415</v>
      </c>
      <c r="D307" s="80">
        <v>14.93</v>
      </c>
    </row>
    <row r="308" spans="1:4" x14ac:dyDescent="0.25">
      <c r="A308" s="5">
        <v>43726</v>
      </c>
      <c r="B308" s="95"/>
      <c r="C308" s="10" t="s">
        <v>1416</v>
      </c>
      <c r="D308" s="80">
        <v>-2634.13</v>
      </c>
    </row>
    <row r="309" spans="1:4" x14ac:dyDescent="0.25">
      <c r="A309" s="5">
        <v>43726</v>
      </c>
      <c r="B309" s="95">
        <v>12235</v>
      </c>
      <c r="C309" s="10" t="s">
        <v>1295</v>
      </c>
      <c r="D309" s="80">
        <v>38.78</v>
      </c>
    </row>
    <row r="310" spans="1:4" x14ac:dyDescent="0.25">
      <c r="A310" s="5">
        <v>43726</v>
      </c>
      <c r="B310" s="95">
        <v>11750</v>
      </c>
      <c r="C310" s="76" t="s">
        <v>1417</v>
      </c>
      <c r="D310" s="79">
        <v>59.34</v>
      </c>
    </row>
    <row r="311" spans="1:4" x14ac:dyDescent="0.25">
      <c r="A311" s="5">
        <v>43731</v>
      </c>
      <c r="B311" s="95"/>
      <c r="C311" s="7" t="s">
        <v>710</v>
      </c>
      <c r="D311" s="23">
        <v>10480</v>
      </c>
    </row>
    <row r="312" spans="1:4" x14ac:dyDescent="0.25">
      <c r="A312" s="5">
        <v>43732</v>
      </c>
      <c r="B312" s="95"/>
      <c r="C312" s="7" t="s">
        <v>1418</v>
      </c>
      <c r="D312" s="23">
        <v>1600</v>
      </c>
    </row>
    <row r="313" spans="1:4" x14ac:dyDescent="0.25">
      <c r="A313" s="5">
        <v>43732</v>
      </c>
      <c r="B313" s="95"/>
      <c r="C313" s="7" t="s">
        <v>1419</v>
      </c>
      <c r="D313" s="23">
        <v>5500</v>
      </c>
    </row>
    <row r="314" spans="1:4" x14ac:dyDescent="0.25">
      <c r="A314" s="5">
        <v>43734</v>
      </c>
      <c r="B314" s="71"/>
      <c r="C314" s="10" t="s">
        <v>1420</v>
      </c>
      <c r="D314" s="23">
        <f>37.5+84+218+36</f>
        <v>375.5</v>
      </c>
    </row>
    <row r="315" spans="1:4" x14ac:dyDescent="0.25">
      <c r="A315" s="5">
        <v>43738</v>
      </c>
      <c r="B315" s="95">
        <v>12627</v>
      </c>
      <c r="C315" s="76" t="s">
        <v>1421</v>
      </c>
      <c r="D315" s="79">
        <v>9140</v>
      </c>
    </row>
    <row r="316" spans="1:4" x14ac:dyDescent="0.25">
      <c r="A316" s="5">
        <v>43752</v>
      </c>
      <c r="B316" s="95">
        <v>13502</v>
      </c>
      <c r="C316" s="76" t="s">
        <v>550</v>
      </c>
      <c r="D316" s="79">
        <v>21</v>
      </c>
    </row>
    <row r="317" spans="1:4" x14ac:dyDescent="0.25">
      <c r="A317" s="5">
        <v>43752</v>
      </c>
      <c r="B317" s="10" t="s">
        <v>1018</v>
      </c>
      <c r="C317" s="76" t="s">
        <v>1422</v>
      </c>
      <c r="D317" s="80">
        <v>12</v>
      </c>
    </row>
    <row r="318" spans="1:4" x14ac:dyDescent="0.25">
      <c r="A318" s="5">
        <v>43752</v>
      </c>
      <c r="B318" s="10" t="s">
        <v>1423</v>
      </c>
      <c r="C318" s="76" t="s">
        <v>1424</v>
      </c>
      <c r="D318" s="80">
        <v>64.599999999999994</v>
      </c>
    </row>
    <row r="319" spans="1:4" x14ac:dyDescent="0.25">
      <c r="A319" s="5">
        <v>43752</v>
      </c>
      <c r="B319" s="10" t="s">
        <v>1425</v>
      </c>
      <c r="C319" s="76" t="s">
        <v>1426</v>
      </c>
      <c r="D319" s="80">
        <v>10</v>
      </c>
    </row>
    <row r="320" spans="1:4" x14ac:dyDescent="0.25">
      <c r="A320" s="5">
        <v>43752</v>
      </c>
      <c r="B320" s="10" t="s">
        <v>1427</v>
      </c>
      <c r="C320" s="76" t="s">
        <v>1428</v>
      </c>
      <c r="D320" s="80">
        <v>14</v>
      </c>
    </row>
    <row r="321" spans="1:4" x14ac:dyDescent="0.25">
      <c r="A321" s="5">
        <v>43752</v>
      </c>
      <c r="B321" s="10" t="s">
        <v>929</v>
      </c>
      <c r="C321" s="76" t="s">
        <v>1429</v>
      </c>
      <c r="D321" s="80">
        <v>12.75</v>
      </c>
    </row>
    <row r="322" spans="1:4" x14ac:dyDescent="0.25">
      <c r="A322" s="5">
        <v>43752</v>
      </c>
      <c r="B322" s="10" t="s">
        <v>931</v>
      </c>
      <c r="C322" s="76" t="s">
        <v>1428</v>
      </c>
      <c r="D322" s="80">
        <v>82.5</v>
      </c>
    </row>
    <row r="323" spans="1:4" x14ac:dyDescent="0.25">
      <c r="A323" s="5">
        <v>43752</v>
      </c>
      <c r="B323" s="71"/>
      <c r="C323" s="10" t="s">
        <v>1430</v>
      </c>
      <c r="D323" s="23">
        <v>560.85</v>
      </c>
    </row>
    <row r="324" spans="1:4" x14ac:dyDescent="0.25">
      <c r="A324" s="5">
        <v>43752</v>
      </c>
      <c r="B324" s="95"/>
      <c r="C324" s="10" t="s">
        <v>1431</v>
      </c>
      <c r="D324" s="80">
        <v>209.74</v>
      </c>
    </row>
    <row r="325" spans="1:4" x14ac:dyDescent="0.25">
      <c r="A325" s="5">
        <v>43755</v>
      </c>
      <c r="B325" s="95"/>
      <c r="C325" s="7" t="s">
        <v>1432</v>
      </c>
      <c r="D325" s="23">
        <f>3*400</f>
        <v>1200</v>
      </c>
    </row>
    <row r="326" spans="1:4" x14ac:dyDescent="0.25">
      <c r="A326" s="5">
        <v>43755</v>
      </c>
      <c r="B326" s="95"/>
      <c r="C326" s="7" t="s">
        <v>1433</v>
      </c>
      <c r="D326" s="23">
        <f>(4*250)+(9*400)</f>
        <v>4600</v>
      </c>
    </row>
    <row r="327" spans="1:4" x14ac:dyDescent="0.25">
      <c r="A327" s="5">
        <v>43755</v>
      </c>
      <c r="B327" s="95">
        <v>13930</v>
      </c>
      <c r="C327" s="76" t="s">
        <v>557</v>
      </c>
      <c r="D327" s="79">
        <v>2518.44</v>
      </c>
    </row>
    <row r="328" spans="1:4" x14ac:dyDescent="0.25">
      <c r="A328" s="5">
        <v>43755</v>
      </c>
      <c r="B328" s="95">
        <v>13931</v>
      </c>
      <c r="C328" s="76" t="s">
        <v>558</v>
      </c>
      <c r="D328" s="79">
        <v>2565</v>
      </c>
    </row>
    <row r="329" spans="1:4" x14ac:dyDescent="0.25">
      <c r="A329" s="5">
        <v>43759</v>
      </c>
      <c r="B329" s="6"/>
      <c r="C329" s="7" t="s">
        <v>1434</v>
      </c>
      <c r="D329" s="80">
        <v>-2331</v>
      </c>
    </row>
    <row r="330" spans="1:4" x14ac:dyDescent="0.25">
      <c r="A330" s="5">
        <v>43759</v>
      </c>
      <c r="B330" s="6"/>
      <c r="C330" s="7" t="s">
        <v>1435</v>
      </c>
      <c r="D330" s="80">
        <v>-7978.1899999999987</v>
      </c>
    </row>
    <row r="331" spans="1:4" x14ac:dyDescent="0.25">
      <c r="A331" s="5">
        <v>43759</v>
      </c>
      <c r="B331" s="6"/>
      <c r="C331" s="7" t="s">
        <v>1436</v>
      </c>
      <c r="D331" s="80">
        <v>-726.02999999999986</v>
      </c>
    </row>
    <row r="332" spans="1:4" x14ac:dyDescent="0.25">
      <c r="A332" s="5">
        <v>43759</v>
      </c>
      <c r="B332" s="6"/>
      <c r="C332" s="7" t="s">
        <v>1437</v>
      </c>
      <c r="D332" s="80">
        <v>-5020.17</v>
      </c>
    </row>
    <row r="333" spans="1:4" x14ac:dyDescent="0.25">
      <c r="A333" s="5">
        <v>43759</v>
      </c>
      <c r="B333" s="6"/>
      <c r="C333" s="7" t="s">
        <v>1438</v>
      </c>
      <c r="D333" s="80">
        <v>-5987.92</v>
      </c>
    </row>
    <row r="334" spans="1:4" x14ac:dyDescent="0.25">
      <c r="A334" s="5">
        <v>43759</v>
      </c>
      <c r="B334" s="6"/>
      <c r="C334" s="7" t="s">
        <v>1439</v>
      </c>
      <c r="D334" s="80">
        <v>-350</v>
      </c>
    </row>
    <row r="335" spans="1:4" x14ac:dyDescent="0.25">
      <c r="A335" s="5">
        <v>43759</v>
      </c>
      <c r="B335" s="6"/>
      <c r="C335" s="7" t="s">
        <v>1440</v>
      </c>
      <c r="D335" s="80">
        <v>-2931.38</v>
      </c>
    </row>
    <row r="336" spans="1:4" x14ac:dyDescent="0.25">
      <c r="A336" s="5">
        <v>43759</v>
      </c>
      <c r="B336" s="6"/>
      <c r="C336" s="7" t="s">
        <v>1441</v>
      </c>
      <c r="D336" s="80">
        <v>-1626.4</v>
      </c>
    </row>
    <row r="337" spans="1:4" x14ac:dyDescent="0.25">
      <c r="A337" s="5">
        <v>43759</v>
      </c>
      <c r="B337" s="6"/>
      <c r="C337" s="7" t="s">
        <v>1442</v>
      </c>
      <c r="D337" s="80">
        <v>-1170.6400000000001</v>
      </c>
    </row>
    <row r="338" spans="1:4" x14ac:dyDescent="0.25">
      <c r="A338" s="5">
        <v>43759</v>
      </c>
      <c r="B338" s="6"/>
      <c r="C338" s="7" t="s">
        <v>1443</v>
      </c>
      <c r="D338" s="80">
        <v>-3344.68</v>
      </c>
    </row>
    <row r="339" spans="1:4" x14ac:dyDescent="0.25">
      <c r="A339" s="5">
        <v>43759</v>
      </c>
      <c r="B339" s="6"/>
      <c r="C339" s="7" t="s">
        <v>1444</v>
      </c>
      <c r="D339" s="80">
        <v>-1618.86</v>
      </c>
    </row>
    <row r="340" spans="1:4" x14ac:dyDescent="0.25">
      <c r="A340" s="5">
        <v>43759</v>
      </c>
      <c r="B340" s="6"/>
      <c r="C340" s="7" t="s">
        <v>1445</v>
      </c>
      <c r="D340" s="80">
        <v>-7657.39</v>
      </c>
    </row>
    <row r="341" spans="1:4" x14ac:dyDescent="0.25">
      <c r="A341" s="5">
        <v>43759</v>
      </c>
      <c r="B341" s="6"/>
      <c r="C341" s="7" t="s">
        <v>1446</v>
      </c>
      <c r="D341" s="80">
        <v>-3257.54</v>
      </c>
    </row>
    <row r="342" spans="1:4" x14ac:dyDescent="0.25">
      <c r="A342" s="5">
        <v>43759</v>
      </c>
      <c r="B342" s="6"/>
      <c r="C342" s="7" t="s">
        <v>1447</v>
      </c>
      <c r="D342" s="80">
        <v>-1748.63</v>
      </c>
    </row>
    <row r="343" spans="1:4" x14ac:dyDescent="0.25">
      <c r="A343" s="5">
        <v>43759</v>
      </c>
      <c r="B343" s="6"/>
      <c r="C343" s="7" t="s">
        <v>1448</v>
      </c>
      <c r="D343" s="80">
        <v>-2961.21</v>
      </c>
    </row>
    <row r="344" spans="1:4" x14ac:dyDescent="0.25">
      <c r="A344" s="5">
        <v>43759</v>
      </c>
      <c r="B344" s="6"/>
      <c r="C344" s="7" t="s">
        <v>1449</v>
      </c>
      <c r="D344" s="80">
        <v>-4600.8100000000004</v>
      </c>
    </row>
    <row r="345" spans="1:4" x14ac:dyDescent="0.25">
      <c r="A345" s="5">
        <v>43759</v>
      </c>
      <c r="B345" s="6"/>
      <c r="C345" s="7" t="s">
        <v>1450</v>
      </c>
      <c r="D345" s="80">
        <v>-4954.1000000000004</v>
      </c>
    </row>
    <row r="346" spans="1:4" x14ac:dyDescent="0.25">
      <c r="A346" s="5">
        <v>43759</v>
      </c>
      <c r="B346" s="6"/>
      <c r="C346" s="7" t="s">
        <v>1451</v>
      </c>
      <c r="D346" s="80">
        <v>-2887.63</v>
      </c>
    </row>
    <row r="347" spans="1:4" x14ac:dyDescent="0.25">
      <c r="A347" s="5">
        <v>43759</v>
      </c>
      <c r="B347" s="6"/>
      <c r="C347" s="7" t="s">
        <v>1452</v>
      </c>
      <c r="D347" s="80">
        <v>-1131.29</v>
      </c>
    </row>
    <row r="348" spans="1:4" x14ac:dyDescent="0.25">
      <c r="A348" s="5">
        <v>43759</v>
      </c>
      <c r="B348" s="6"/>
      <c r="C348" s="7" t="s">
        <v>1453</v>
      </c>
      <c r="D348" s="80">
        <v>-307.48</v>
      </c>
    </row>
    <row r="349" spans="1:4" x14ac:dyDescent="0.25">
      <c r="A349" s="5">
        <v>43759</v>
      </c>
      <c r="B349" s="6"/>
      <c r="C349" s="7" t="s">
        <v>1454</v>
      </c>
      <c r="D349" s="80">
        <v>-4455.2299999999996</v>
      </c>
    </row>
    <row r="350" spans="1:4" x14ac:dyDescent="0.25">
      <c r="A350" s="5">
        <v>43759</v>
      </c>
      <c r="B350" s="6"/>
      <c r="C350" s="7" t="s">
        <v>1455</v>
      </c>
      <c r="D350" s="80">
        <v>-11957.62</v>
      </c>
    </row>
    <row r="351" spans="1:4" x14ac:dyDescent="0.25">
      <c r="A351" s="5">
        <v>43759</v>
      </c>
      <c r="B351" s="6"/>
      <c r="C351" s="7" t="s">
        <v>1456</v>
      </c>
      <c r="D351" s="80">
        <v>-12258.22</v>
      </c>
    </row>
    <row r="352" spans="1:4" x14ac:dyDescent="0.25">
      <c r="A352" s="5">
        <v>43759</v>
      </c>
      <c r="B352" s="6"/>
      <c r="C352" s="7" t="s">
        <v>1457</v>
      </c>
      <c r="D352" s="80">
        <v>-1837.92</v>
      </c>
    </row>
    <row r="353" spans="1:4" x14ac:dyDescent="0.25">
      <c r="A353" s="5">
        <v>43759</v>
      </c>
      <c r="B353" s="6"/>
      <c r="C353" s="7" t="s">
        <v>1458</v>
      </c>
      <c r="D353" s="80">
        <v>8.4</v>
      </c>
    </row>
    <row r="354" spans="1:4" x14ac:dyDescent="0.25">
      <c r="A354" s="5">
        <v>43759</v>
      </c>
      <c r="B354" s="6"/>
      <c r="C354" s="7" t="s">
        <v>1459</v>
      </c>
      <c r="D354" s="80">
        <v>2382.4899999999998</v>
      </c>
    </row>
    <row r="355" spans="1:4" x14ac:dyDescent="0.25">
      <c r="A355" s="5">
        <v>43759</v>
      </c>
      <c r="B355" s="6"/>
      <c r="C355" s="7" t="s">
        <v>1460</v>
      </c>
      <c r="D355" s="80">
        <v>426.91</v>
      </c>
    </row>
    <row r="356" spans="1:4" x14ac:dyDescent="0.25">
      <c r="A356" s="94">
        <v>2210</v>
      </c>
      <c r="B356" s="95">
        <v>14210</v>
      </c>
      <c r="C356" s="76" t="s">
        <v>559</v>
      </c>
      <c r="D356" s="79">
        <v>500</v>
      </c>
    </row>
    <row r="357" spans="1:4" x14ac:dyDescent="0.25">
      <c r="A357" s="94">
        <v>2210</v>
      </c>
      <c r="B357" s="95">
        <v>14212</v>
      </c>
      <c r="C357" s="76" t="s">
        <v>560</v>
      </c>
      <c r="D357" s="79">
        <v>500</v>
      </c>
    </row>
    <row r="358" spans="1:4" x14ac:dyDescent="0.25">
      <c r="A358" s="94">
        <v>2210</v>
      </c>
      <c r="B358" s="95">
        <v>14214</v>
      </c>
      <c r="C358" s="76" t="s">
        <v>561</v>
      </c>
      <c r="D358" s="79">
        <v>500</v>
      </c>
    </row>
    <row r="359" spans="1:4" x14ac:dyDescent="0.25">
      <c r="A359" s="5">
        <v>43761</v>
      </c>
      <c r="B359" s="95">
        <v>14267</v>
      </c>
      <c r="C359" s="76" t="s">
        <v>562</v>
      </c>
      <c r="D359" s="79">
        <v>4300</v>
      </c>
    </row>
    <row r="360" spans="1:4" x14ac:dyDescent="0.25">
      <c r="A360" s="5">
        <v>43767</v>
      </c>
      <c r="B360" s="95">
        <v>14496</v>
      </c>
      <c r="C360" s="95" t="s">
        <v>564</v>
      </c>
      <c r="D360" s="80">
        <v>1000</v>
      </c>
    </row>
    <row r="361" spans="1:4" x14ac:dyDescent="0.25">
      <c r="A361" s="5">
        <v>43769</v>
      </c>
      <c r="B361" s="95"/>
      <c r="C361" s="10" t="s">
        <v>1461</v>
      </c>
      <c r="D361" s="80">
        <v>777.11</v>
      </c>
    </row>
    <row r="362" spans="1:4" x14ac:dyDescent="0.25">
      <c r="A362" s="94">
        <v>3010</v>
      </c>
      <c r="B362" s="95">
        <v>14608</v>
      </c>
      <c r="C362" s="76" t="s">
        <v>565</v>
      </c>
      <c r="D362" s="79">
        <v>134576.04999999999</v>
      </c>
    </row>
    <row r="363" spans="1:4" x14ac:dyDescent="0.25">
      <c r="A363" s="94">
        <v>3010</v>
      </c>
      <c r="B363" s="95">
        <v>13650</v>
      </c>
      <c r="C363" s="76" t="s">
        <v>566</v>
      </c>
      <c r="D363" s="79">
        <v>442.98</v>
      </c>
    </row>
    <row r="364" spans="1:4" x14ac:dyDescent="0.25">
      <c r="A364" s="94">
        <v>3010</v>
      </c>
      <c r="B364" s="95">
        <v>14451</v>
      </c>
      <c r="C364" s="76" t="s">
        <v>567</v>
      </c>
      <c r="D364" s="79">
        <v>10930</v>
      </c>
    </row>
    <row r="365" spans="1:4" x14ac:dyDescent="0.25">
      <c r="A365" s="94">
        <v>3010</v>
      </c>
      <c r="B365" s="95">
        <v>14466</v>
      </c>
      <c r="C365" s="76" t="s">
        <v>568</v>
      </c>
      <c r="D365" s="79">
        <v>9866</v>
      </c>
    </row>
    <row r="366" spans="1:4" x14ac:dyDescent="0.25">
      <c r="A366" s="5">
        <v>43768</v>
      </c>
      <c r="B366" s="95"/>
      <c r="C366" s="10" t="s">
        <v>1462</v>
      </c>
      <c r="D366" s="80">
        <f>-(D362+D364+D365+D363+D360)</f>
        <v>-156815.03</v>
      </c>
    </row>
    <row r="367" spans="1:4" x14ac:dyDescent="0.25">
      <c r="A367" s="94">
        <v>511</v>
      </c>
      <c r="B367" s="95"/>
      <c r="C367" s="10" t="s">
        <v>1587</v>
      </c>
      <c r="D367" s="203">
        <v>65.8</v>
      </c>
    </row>
    <row r="368" spans="1:4" x14ac:dyDescent="0.25">
      <c r="A368" s="5"/>
      <c r="B368" s="95"/>
      <c r="C368" s="10"/>
      <c r="D368" s="80"/>
    </row>
    <row r="369" spans="1:4" x14ac:dyDescent="0.25">
      <c r="A369" s="94"/>
      <c r="B369" s="95"/>
      <c r="C369" s="76"/>
      <c r="D369" s="203"/>
    </row>
    <row r="370" spans="1:4" x14ac:dyDescent="0.25">
      <c r="A370" s="5"/>
      <c r="B370" s="95"/>
      <c r="C370" s="10"/>
      <c r="D370" s="80"/>
    </row>
    <row r="371" spans="1:4" x14ac:dyDescent="0.25">
      <c r="A371" s="94"/>
      <c r="B371" s="95"/>
      <c r="C371" s="76"/>
      <c r="D371" s="203"/>
    </row>
    <row r="372" spans="1:4" x14ac:dyDescent="0.25">
      <c r="A372" s="5"/>
      <c r="B372" s="95"/>
      <c r="C372" s="10"/>
      <c r="D372" s="80"/>
    </row>
    <row r="373" spans="1:4" x14ac:dyDescent="0.25">
      <c r="A373" s="94"/>
      <c r="B373" s="95"/>
      <c r="C373" s="76"/>
      <c r="D373" s="203"/>
    </row>
    <row r="374" spans="1:4" x14ac:dyDescent="0.25">
      <c r="A374" s="5"/>
      <c r="B374" s="95"/>
      <c r="C374" s="10"/>
      <c r="D374" s="80"/>
    </row>
    <row r="376" spans="1:4" x14ac:dyDescent="0.25">
      <c r="A376" s="232" t="s">
        <v>718</v>
      </c>
      <c r="B376" s="232"/>
      <c r="C376" s="232"/>
      <c r="D376" s="148">
        <f>D311</f>
        <v>10480</v>
      </c>
    </row>
    <row r="377" spans="1:4" x14ac:dyDescent="0.25">
      <c r="A377" s="5">
        <v>43734</v>
      </c>
      <c r="B377" s="95">
        <v>12569</v>
      </c>
      <c r="C377" s="10" t="s">
        <v>1295</v>
      </c>
      <c r="D377" s="80">
        <v>405.47</v>
      </c>
    </row>
    <row r="378" spans="1:4" x14ac:dyDescent="0.25">
      <c r="A378" s="5">
        <v>43735</v>
      </c>
      <c r="B378" s="95">
        <v>12630</v>
      </c>
      <c r="C378" s="10" t="s">
        <v>1295</v>
      </c>
      <c r="D378" s="23">
        <v>537.13</v>
      </c>
    </row>
    <row r="379" spans="1:4" x14ac:dyDescent="0.25">
      <c r="A379" s="5">
        <v>43738</v>
      </c>
      <c r="B379" s="95">
        <v>12668</v>
      </c>
      <c r="C379" s="10" t="s">
        <v>1300</v>
      </c>
      <c r="D379" s="23">
        <v>45.8</v>
      </c>
    </row>
    <row r="380" spans="1:4" x14ac:dyDescent="0.25">
      <c r="A380" s="5">
        <v>43739</v>
      </c>
      <c r="B380" s="95">
        <v>12753</v>
      </c>
      <c r="C380" s="10" t="s">
        <v>1295</v>
      </c>
      <c r="D380" s="23">
        <v>26.21</v>
      </c>
    </row>
    <row r="381" spans="1:4" x14ac:dyDescent="0.25">
      <c r="A381" s="5">
        <v>43739</v>
      </c>
      <c r="B381" s="95">
        <v>12789</v>
      </c>
      <c r="C381" s="10" t="s">
        <v>1295</v>
      </c>
      <c r="D381" s="23">
        <v>91.63</v>
      </c>
    </row>
    <row r="382" spans="1:4" x14ac:dyDescent="0.25">
      <c r="A382" s="5">
        <v>43739</v>
      </c>
      <c r="B382" s="95">
        <v>12798</v>
      </c>
      <c r="C382" s="10" t="s">
        <v>1463</v>
      </c>
      <c r="D382" s="23">
        <v>4.47</v>
      </c>
    </row>
    <row r="383" spans="1:4" x14ac:dyDescent="0.25">
      <c r="A383" s="5">
        <v>43742</v>
      </c>
      <c r="B383" s="95">
        <v>12923</v>
      </c>
      <c r="C383" s="10" t="s">
        <v>1415</v>
      </c>
      <c r="D383" s="23">
        <v>10.15</v>
      </c>
    </row>
    <row r="384" spans="1:4" x14ac:dyDescent="0.25">
      <c r="A384" s="5">
        <v>43742</v>
      </c>
      <c r="B384" s="95">
        <v>12919</v>
      </c>
      <c r="C384" s="10" t="s">
        <v>1303</v>
      </c>
      <c r="D384" s="23">
        <v>22.9</v>
      </c>
    </row>
    <row r="385" spans="1:4" x14ac:dyDescent="0.25">
      <c r="A385" s="130">
        <v>43745</v>
      </c>
      <c r="B385" s="157">
        <v>12957</v>
      </c>
      <c r="C385" s="10" t="s">
        <v>1464</v>
      </c>
      <c r="D385" s="23">
        <v>27.36</v>
      </c>
    </row>
    <row r="386" spans="1:4" x14ac:dyDescent="0.25">
      <c r="A386" s="5">
        <v>43745</v>
      </c>
      <c r="B386" s="95">
        <v>12985</v>
      </c>
      <c r="C386" s="10" t="s">
        <v>1295</v>
      </c>
      <c r="D386" s="23">
        <v>13.75</v>
      </c>
    </row>
    <row r="387" spans="1:4" x14ac:dyDescent="0.25">
      <c r="A387" s="5">
        <v>43746</v>
      </c>
      <c r="B387" s="95">
        <v>12997</v>
      </c>
      <c r="C387" s="10" t="s">
        <v>1298</v>
      </c>
      <c r="D387" s="23">
        <v>30.65</v>
      </c>
    </row>
    <row r="388" spans="1:4" x14ac:dyDescent="0.25">
      <c r="A388" s="5">
        <v>43746</v>
      </c>
      <c r="B388" s="95">
        <v>13063</v>
      </c>
      <c r="C388" s="10" t="s">
        <v>1299</v>
      </c>
      <c r="D388" s="23">
        <v>52.79</v>
      </c>
    </row>
    <row r="389" spans="1:4" x14ac:dyDescent="0.25">
      <c r="A389" s="5">
        <v>43748</v>
      </c>
      <c r="B389" s="95">
        <v>13155</v>
      </c>
      <c r="C389" s="156" t="s">
        <v>1463</v>
      </c>
      <c r="D389" s="23">
        <v>485.85</v>
      </c>
    </row>
    <row r="390" spans="1:4" x14ac:dyDescent="0.25">
      <c r="A390" s="5">
        <v>43749</v>
      </c>
      <c r="B390" s="95">
        <v>13202</v>
      </c>
      <c r="C390" s="156" t="s">
        <v>1465</v>
      </c>
      <c r="D390" s="23">
        <v>141.49</v>
      </c>
    </row>
    <row r="391" spans="1:4" x14ac:dyDescent="0.25">
      <c r="A391" s="5">
        <v>43749</v>
      </c>
      <c r="B391" s="95">
        <v>13206</v>
      </c>
      <c r="C391" s="156" t="s">
        <v>1466</v>
      </c>
      <c r="D391" s="23">
        <v>68.7</v>
      </c>
    </row>
    <row r="392" spans="1:4" x14ac:dyDescent="0.25">
      <c r="A392" s="5">
        <v>43749</v>
      </c>
      <c r="B392" s="95">
        <v>13225</v>
      </c>
      <c r="C392" s="10" t="s">
        <v>1295</v>
      </c>
      <c r="D392" s="23">
        <v>879.91999999999985</v>
      </c>
    </row>
    <row r="393" spans="1:4" x14ac:dyDescent="0.25">
      <c r="A393" s="5">
        <v>43749</v>
      </c>
      <c r="B393" s="95">
        <v>13228</v>
      </c>
      <c r="C393" s="10" t="s">
        <v>1295</v>
      </c>
      <c r="D393" s="23">
        <v>636</v>
      </c>
    </row>
    <row r="394" spans="1:4" x14ac:dyDescent="0.25">
      <c r="A394" s="5">
        <v>43753</v>
      </c>
      <c r="B394" s="95">
        <v>13370</v>
      </c>
      <c r="C394" s="10" t="s">
        <v>1295</v>
      </c>
      <c r="D394" s="23">
        <v>2.21</v>
      </c>
    </row>
    <row r="395" spans="1:4" x14ac:dyDescent="0.25">
      <c r="A395" s="130">
        <v>43754</v>
      </c>
      <c r="B395" s="157">
        <v>13511</v>
      </c>
      <c r="C395" s="10" t="s">
        <v>1464</v>
      </c>
      <c r="D395" s="23">
        <v>33.880000000000003</v>
      </c>
    </row>
    <row r="396" spans="1:4" x14ac:dyDescent="0.25">
      <c r="A396" s="130">
        <v>43754</v>
      </c>
      <c r="B396" s="157">
        <v>13513</v>
      </c>
      <c r="C396" s="10" t="s">
        <v>1464</v>
      </c>
      <c r="D396" s="23">
        <v>91.6</v>
      </c>
    </row>
    <row r="397" spans="1:4" x14ac:dyDescent="0.25">
      <c r="A397" s="130">
        <v>43755</v>
      </c>
      <c r="B397" s="157">
        <v>13555</v>
      </c>
      <c r="C397" s="10" t="s">
        <v>1467</v>
      </c>
      <c r="D397" s="23">
        <v>13.89</v>
      </c>
    </row>
    <row r="398" spans="1:4" x14ac:dyDescent="0.25">
      <c r="A398" s="5">
        <v>43756</v>
      </c>
      <c r="B398" s="95">
        <v>13607</v>
      </c>
      <c r="C398" s="10" t="s">
        <v>1295</v>
      </c>
      <c r="D398" s="23">
        <v>37.72</v>
      </c>
    </row>
    <row r="399" spans="1:4" x14ac:dyDescent="0.25">
      <c r="A399" s="5">
        <v>43760</v>
      </c>
      <c r="B399" s="95">
        <v>13796</v>
      </c>
      <c r="C399" s="10" t="s">
        <v>1295</v>
      </c>
      <c r="D399" s="23">
        <v>334.02</v>
      </c>
    </row>
    <row r="400" spans="1:4" x14ac:dyDescent="0.25">
      <c r="A400" s="5">
        <v>43760</v>
      </c>
      <c r="B400" s="95">
        <v>13803</v>
      </c>
      <c r="C400" s="10" t="s">
        <v>1295</v>
      </c>
      <c r="D400" s="23">
        <v>44.8</v>
      </c>
    </row>
    <row r="401" spans="1:4" x14ac:dyDescent="0.25">
      <c r="A401" s="5">
        <v>43761</v>
      </c>
      <c r="B401" s="95">
        <v>13853</v>
      </c>
      <c r="C401" s="10" t="s">
        <v>1295</v>
      </c>
      <c r="D401" s="23">
        <v>13.93</v>
      </c>
    </row>
    <row r="402" spans="1:4" x14ac:dyDescent="0.25">
      <c r="A402" s="5">
        <v>43763</v>
      </c>
      <c r="B402" s="95">
        <v>13971</v>
      </c>
      <c r="C402" s="10" t="s">
        <v>1295</v>
      </c>
      <c r="D402" s="23">
        <v>16.12</v>
      </c>
    </row>
    <row r="403" spans="1:4" x14ac:dyDescent="0.25">
      <c r="A403" s="5">
        <v>43763</v>
      </c>
      <c r="B403" s="95">
        <v>13989</v>
      </c>
      <c r="C403" s="10" t="s">
        <v>1303</v>
      </c>
      <c r="D403" s="23">
        <v>22.9</v>
      </c>
    </row>
    <row r="404" spans="1:4" x14ac:dyDescent="0.25">
      <c r="A404" s="5">
        <v>43763</v>
      </c>
      <c r="B404" s="95">
        <v>13992</v>
      </c>
      <c r="C404" s="10" t="s">
        <v>1295</v>
      </c>
      <c r="D404" s="23">
        <v>530</v>
      </c>
    </row>
    <row r="405" spans="1:4" x14ac:dyDescent="0.25">
      <c r="A405" s="5">
        <v>43768</v>
      </c>
      <c r="B405" s="95">
        <v>14134</v>
      </c>
      <c r="C405" s="156" t="s">
        <v>1465</v>
      </c>
      <c r="D405" s="23">
        <v>67.69</v>
      </c>
    </row>
    <row r="406" spans="1:4" x14ac:dyDescent="0.25">
      <c r="A406" s="5">
        <v>43769</v>
      </c>
      <c r="B406" s="95">
        <v>14162</v>
      </c>
      <c r="C406" s="10" t="s">
        <v>1295</v>
      </c>
      <c r="D406" s="23">
        <v>320.95999999999998</v>
      </c>
    </row>
    <row r="407" spans="1:4" x14ac:dyDescent="0.25">
      <c r="A407" s="5">
        <v>43770</v>
      </c>
      <c r="B407" s="95">
        <v>14318</v>
      </c>
      <c r="C407" s="10" t="s">
        <v>1298</v>
      </c>
      <c r="D407" s="23">
        <v>22.9</v>
      </c>
    </row>
    <row r="408" spans="1:4" x14ac:dyDescent="0.25">
      <c r="A408" s="5">
        <v>43770</v>
      </c>
      <c r="B408" s="95">
        <v>14319</v>
      </c>
      <c r="C408" s="10" t="s">
        <v>1298</v>
      </c>
      <c r="D408" s="23">
        <v>38.49</v>
      </c>
    </row>
    <row r="409" spans="1:4" x14ac:dyDescent="0.25">
      <c r="A409" s="5"/>
      <c r="B409" s="95"/>
      <c r="C409" s="10"/>
      <c r="D409" s="23"/>
    </row>
    <row r="410" spans="1:4" x14ac:dyDescent="0.25">
      <c r="A410" s="5"/>
      <c r="B410" s="95"/>
      <c r="C410" s="10"/>
      <c r="D410" s="23"/>
    </row>
    <row r="411" spans="1:4" x14ac:dyDescent="0.25">
      <c r="A411" s="5"/>
      <c r="B411" s="95"/>
      <c r="C411" s="156"/>
      <c r="D411" s="23"/>
    </row>
    <row r="412" spans="1:4" x14ac:dyDescent="0.25">
      <c r="A412" s="5"/>
      <c r="B412" s="95"/>
      <c r="C412" s="156"/>
      <c r="D412" s="23"/>
    </row>
    <row r="413" spans="1:4" x14ac:dyDescent="0.25">
      <c r="A413" s="5"/>
      <c r="B413" s="95"/>
      <c r="C413" s="156"/>
      <c r="D413" s="23"/>
    </row>
    <row r="414" spans="1:4" x14ac:dyDescent="0.25">
      <c r="A414" s="10"/>
      <c r="B414" s="5"/>
      <c r="C414" s="156"/>
      <c r="D414" s="23"/>
    </row>
    <row r="415" spans="1:4" x14ac:dyDescent="0.25">
      <c r="A415" s="232" t="s">
        <v>703</v>
      </c>
      <c r="B415" s="232"/>
      <c r="C415" s="232"/>
      <c r="D415" s="148">
        <f>D376-SUM(D377:D414)</f>
        <v>5408.6200000000008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376:C376"/>
    <mergeCell ref="A415:C41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7" workbookViewId="0">
      <selection activeCell="D39" sqref="D39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1468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Geral!D44</f>
        <v>5756.6111000000001</v>
      </c>
      <c r="F6" s="211" t="s">
        <v>687</v>
      </c>
      <c r="G6" s="212"/>
      <c r="H6" s="14" t="s">
        <v>582</v>
      </c>
      <c r="I6" s="24">
        <f>Geral!E44</f>
        <v>0</v>
      </c>
      <c r="K6" s="230" t="s">
        <v>688</v>
      </c>
      <c r="L6" s="230"/>
      <c r="M6" s="4" t="s">
        <v>582</v>
      </c>
      <c r="N6" s="24">
        <f>Geral!F44</f>
        <v>0</v>
      </c>
    </row>
    <row r="7" spans="1:14" ht="15" customHeight="1" x14ac:dyDescent="0.25">
      <c r="A7" s="230"/>
      <c r="B7" s="230"/>
      <c r="C7" s="3" t="s">
        <v>583</v>
      </c>
      <c r="D7" s="24">
        <f>SUM(D10:D43)</f>
        <v>4756.6100000000015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1000.0010999999986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94">
        <v>2301</v>
      </c>
      <c r="B10" s="95">
        <v>419</v>
      </c>
      <c r="C10" s="76" t="s">
        <v>138</v>
      </c>
      <c r="D10" s="79">
        <v>75.12</v>
      </c>
      <c r="F10" s="5"/>
      <c r="G10" s="6"/>
      <c r="H10" s="7"/>
      <c r="I10" s="24"/>
      <c r="K10" s="68"/>
      <c r="L10" s="71"/>
      <c r="M10" s="10"/>
      <c r="N10" s="23"/>
    </row>
    <row r="11" spans="1:14" x14ac:dyDescent="0.25">
      <c r="A11" s="94">
        <v>2102</v>
      </c>
      <c r="B11" s="15"/>
      <c r="C11" s="10" t="s">
        <v>1469</v>
      </c>
      <c r="D11" s="24">
        <v>200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94">
        <v>103</v>
      </c>
      <c r="B12" s="15"/>
      <c r="C12" s="10" t="s">
        <v>1470</v>
      </c>
      <c r="D12" s="24">
        <v>500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94">
        <v>2003</v>
      </c>
      <c r="B13" s="15"/>
      <c r="C13" s="10" t="s">
        <v>726</v>
      </c>
      <c r="D13" s="24">
        <v>1000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94">
        <v>404</v>
      </c>
      <c r="B14" s="95">
        <v>4193</v>
      </c>
      <c r="C14" s="7" t="s">
        <v>705</v>
      </c>
      <c r="D14" s="24">
        <v>57.25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94">
        <v>404</v>
      </c>
      <c r="B15" s="15"/>
      <c r="C15" s="7" t="s">
        <v>692</v>
      </c>
      <c r="D15" s="24">
        <v>-399.7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94">
        <v>2304</v>
      </c>
      <c r="B16" s="15"/>
      <c r="C16" s="10" t="s">
        <v>727</v>
      </c>
      <c r="D16" s="24">
        <v>1000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94">
        <v>2604</v>
      </c>
      <c r="B17" s="95">
        <v>5334</v>
      </c>
      <c r="C17" s="7" t="s">
        <v>705</v>
      </c>
      <c r="D17" s="23">
        <v>45.8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94">
        <v>3004</v>
      </c>
      <c r="B18" s="95">
        <v>5516</v>
      </c>
      <c r="C18" s="7" t="s">
        <v>705</v>
      </c>
      <c r="D18" s="24">
        <v>45.8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94">
        <v>2405</v>
      </c>
      <c r="B19" s="15"/>
      <c r="C19" s="10" t="s">
        <v>729</v>
      </c>
      <c r="D19" s="24">
        <v>500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94">
        <v>2705</v>
      </c>
      <c r="B20" s="95">
        <v>6835</v>
      </c>
      <c r="C20" s="7" t="s">
        <v>705</v>
      </c>
      <c r="D20" s="24">
        <v>34.35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94">
        <v>1106</v>
      </c>
      <c r="B21" s="95">
        <v>7682</v>
      </c>
      <c r="C21" s="7" t="s">
        <v>705</v>
      </c>
      <c r="D21" s="24">
        <v>34.35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94">
        <v>1106</v>
      </c>
      <c r="B22" s="95">
        <v>7686</v>
      </c>
      <c r="C22" s="7" t="s">
        <v>705</v>
      </c>
      <c r="D22" s="23">
        <v>27.21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94">
        <v>2406</v>
      </c>
      <c r="B23" s="95"/>
      <c r="C23" s="10" t="s">
        <v>706</v>
      </c>
      <c r="D23" s="23">
        <v>500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94">
        <v>307</v>
      </c>
      <c r="B24" s="95">
        <v>8518</v>
      </c>
      <c r="C24" s="7" t="s">
        <v>705</v>
      </c>
      <c r="D24" s="23">
        <v>114.5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94">
        <v>307</v>
      </c>
      <c r="B25" s="95">
        <v>8519</v>
      </c>
      <c r="C25" s="7" t="s">
        <v>705</v>
      </c>
      <c r="D25" s="23">
        <v>35.94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94">
        <v>1607</v>
      </c>
      <c r="B26" s="95"/>
      <c r="C26" s="10" t="s">
        <v>708</v>
      </c>
      <c r="D26" s="23">
        <v>500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94">
        <v>2407</v>
      </c>
      <c r="B27" s="95">
        <v>9452</v>
      </c>
      <c r="C27" s="7" t="s">
        <v>705</v>
      </c>
      <c r="D27" s="24">
        <v>39.14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94">
        <v>2507</v>
      </c>
      <c r="B28" s="95">
        <v>9479</v>
      </c>
      <c r="C28" s="7" t="s">
        <v>705</v>
      </c>
      <c r="D28" s="24">
        <v>68.7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94">
        <v>608</v>
      </c>
      <c r="B29" s="15" t="s">
        <v>1471</v>
      </c>
      <c r="C29" s="76" t="s">
        <v>1472</v>
      </c>
      <c r="D29" s="23">
        <v>125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94">
        <v>708</v>
      </c>
      <c r="B30" s="95">
        <v>10066</v>
      </c>
      <c r="C30" s="7" t="s">
        <v>705</v>
      </c>
      <c r="D30" s="24">
        <v>27.6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94">
        <v>1408</v>
      </c>
      <c r="B31" s="95">
        <v>10278</v>
      </c>
      <c r="C31" s="7" t="s">
        <v>705</v>
      </c>
      <c r="D31" s="24">
        <v>74.299999999999983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94">
        <v>2208</v>
      </c>
      <c r="B32" s="95"/>
      <c r="C32" s="10" t="s">
        <v>733</v>
      </c>
      <c r="D32" s="23">
        <v>500</v>
      </c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94">
        <v>2708</v>
      </c>
      <c r="B33" s="95">
        <v>11065</v>
      </c>
      <c r="C33" s="7" t="s">
        <v>705</v>
      </c>
      <c r="D33" s="23">
        <v>114.5</v>
      </c>
      <c r="F33" s="5"/>
      <c r="G33" s="6"/>
      <c r="H33" s="7"/>
      <c r="I33" s="24"/>
      <c r="K33" s="8"/>
      <c r="L33" s="6"/>
      <c r="M33" s="7"/>
      <c r="N33" s="24"/>
    </row>
    <row r="34" spans="1:14" x14ac:dyDescent="0.25">
      <c r="A34" s="94">
        <v>1709</v>
      </c>
      <c r="B34" s="95">
        <v>12145</v>
      </c>
      <c r="C34" s="7" t="s">
        <v>705</v>
      </c>
      <c r="D34" s="23">
        <v>169.24</v>
      </c>
      <c r="F34" s="5"/>
      <c r="G34" s="6"/>
      <c r="H34" s="7"/>
      <c r="I34" s="24"/>
      <c r="K34" s="8"/>
      <c r="L34" s="6"/>
      <c r="M34" s="7"/>
      <c r="N34" s="24"/>
    </row>
    <row r="35" spans="1:14" x14ac:dyDescent="0.25">
      <c r="A35" s="94">
        <v>2409</v>
      </c>
      <c r="B35" s="95"/>
      <c r="C35" s="10" t="s">
        <v>734</v>
      </c>
      <c r="D35" s="23">
        <v>500</v>
      </c>
      <c r="F35" s="5"/>
      <c r="G35" s="6"/>
      <c r="H35" s="7"/>
      <c r="I35" s="24"/>
      <c r="K35" s="8"/>
      <c r="L35" s="6"/>
      <c r="M35" s="7"/>
      <c r="N35" s="24"/>
    </row>
    <row r="36" spans="1:14" x14ac:dyDescent="0.25">
      <c r="A36" s="94">
        <v>410</v>
      </c>
      <c r="B36" s="95">
        <v>12855</v>
      </c>
      <c r="C36" s="76" t="s">
        <v>545</v>
      </c>
      <c r="D36" s="79">
        <v>750</v>
      </c>
      <c r="F36" s="5"/>
      <c r="G36" s="6"/>
      <c r="H36" s="7"/>
      <c r="I36" s="24"/>
      <c r="K36" s="8"/>
      <c r="L36" s="6"/>
      <c r="M36" s="7"/>
      <c r="N36" s="24"/>
    </row>
    <row r="37" spans="1:14" x14ac:dyDescent="0.25">
      <c r="A37" s="94">
        <v>1710</v>
      </c>
      <c r="B37" s="95"/>
      <c r="C37" s="10" t="s">
        <v>1473</v>
      </c>
      <c r="D37" s="23">
        <v>500</v>
      </c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94">
        <v>2110</v>
      </c>
      <c r="B38" s="95"/>
      <c r="C38" s="10" t="s">
        <v>1474</v>
      </c>
      <c r="D38" s="23">
        <v>-2382.4899999999998</v>
      </c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94"/>
      <c r="B39" s="95"/>
      <c r="C39" s="10"/>
      <c r="D39" s="23"/>
      <c r="F39" s="31"/>
      <c r="G39" s="32"/>
      <c r="H39" s="33"/>
      <c r="I39" s="41"/>
      <c r="K39" s="35"/>
      <c r="L39" s="32"/>
      <c r="M39" s="33"/>
      <c r="N39" s="41"/>
    </row>
    <row r="40" spans="1:14" x14ac:dyDescent="0.25">
      <c r="A40" s="94"/>
      <c r="B40" s="95"/>
      <c r="C40" s="10"/>
      <c r="D40" s="23"/>
      <c r="F40" s="31"/>
      <c r="G40" s="32"/>
      <c r="H40" s="33"/>
      <c r="I40" s="41"/>
      <c r="K40" s="35"/>
      <c r="L40" s="32"/>
      <c r="M40" s="33"/>
      <c r="N40" s="41"/>
    </row>
    <row r="41" spans="1:14" x14ac:dyDescent="0.25">
      <c r="A41" s="94"/>
      <c r="B41" s="95"/>
      <c r="C41" s="10"/>
      <c r="D41" s="23"/>
      <c r="F41" s="31"/>
      <c r="G41" s="32"/>
      <c r="H41" s="33"/>
      <c r="I41" s="41"/>
      <c r="K41" s="35"/>
      <c r="L41" s="32"/>
      <c r="M41" s="33"/>
      <c r="N41" s="41"/>
    </row>
    <row r="42" spans="1:14" x14ac:dyDescent="0.25">
      <c r="A42" s="94"/>
      <c r="B42" s="95"/>
      <c r="C42" s="10"/>
      <c r="D42" s="23"/>
      <c r="F42" s="31"/>
      <c r="G42" s="32"/>
      <c r="H42" s="33"/>
      <c r="I42" s="41"/>
      <c r="K42" s="35"/>
      <c r="L42" s="32"/>
      <c r="M42" s="33"/>
      <c r="N42" s="41"/>
    </row>
    <row r="43" spans="1:14" x14ac:dyDescent="0.25">
      <c r="A43" s="94"/>
      <c r="B43" s="95"/>
      <c r="C43" s="10"/>
      <c r="D43" s="23"/>
    </row>
    <row r="45" spans="1:14" x14ac:dyDescent="0.25">
      <c r="B45" s="44"/>
      <c r="C45" s="45" t="s">
        <v>1475</v>
      </c>
      <c r="D45" s="23">
        <v>400</v>
      </c>
    </row>
    <row r="46" spans="1:14" x14ac:dyDescent="0.25">
      <c r="B46" s="49"/>
      <c r="C46" s="10"/>
      <c r="D46" s="23"/>
    </row>
    <row r="47" spans="1:14" x14ac:dyDescent="0.25">
      <c r="B47" s="44"/>
      <c r="C47" s="10"/>
      <c r="D47" s="23"/>
    </row>
    <row r="48" spans="1:14" x14ac:dyDescent="0.25">
      <c r="B48" s="44"/>
      <c r="C48" s="10"/>
      <c r="D48" s="23"/>
    </row>
    <row r="49" spans="2:4" x14ac:dyDescent="0.25">
      <c r="B49" s="44"/>
      <c r="C49" s="10" t="s">
        <v>703</v>
      </c>
      <c r="D49" s="48">
        <f>D45-SUM(D46:D48)</f>
        <v>400</v>
      </c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1476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Geral!D45</f>
        <v>8634.9166499999992</v>
      </c>
      <c r="F6" s="211" t="s">
        <v>687</v>
      </c>
      <c r="G6" s="212"/>
      <c r="H6" s="14" t="s">
        <v>582</v>
      </c>
      <c r="I6" s="24">
        <f>Geral!E45</f>
        <v>0</v>
      </c>
      <c r="K6" s="230" t="s">
        <v>688</v>
      </c>
      <c r="L6" s="230"/>
      <c r="M6" s="4" t="s">
        <v>582</v>
      </c>
      <c r="N6" s="24">
        <f>Geral!F45</f>
        <v>480</v>
      </c>
    </row>
    <row r="7" spans="1:14" ht="15" customHeight="1" x14ac:dyDescent="0.25">
      <c r="A7" s="230"/>
      <c r="B7" s="230"/>
      <c r="C7" s="3" t="s">
        <v>583</v>
      </c>
      <c r="D7" s="24">
        <f>SUM(D10:D55)</f>
        <v>8634.9200000000019</v>
      </c>
      <c r="F7" s="213"/>
      <c r="G7" s="214"/>
      <c r="H7" s="14" t="s">
        <v>583</v>
      </c>
      <c r="I7" s="24">
        <f>SUM(I10:I34)</f>
        <v>0</v>
      </c>
      <c r="K7" s="230"/>
      <c r="L7" s="230"/>
      <c r="M7" s="4" t="s">
        <v>583</v>
      </c>
      <c r="N7" s="24">
        <f>SUM(N10:N34)</f>
        <v>480</v>
      </c>
    </row>
    <row r="8" spans="1:14" ht="15" customHeight="1" x14ac:dyDescent="0.25">
      <c r="A8" s="230"/>
      <c r="B8" s="230"/>
      <c r="C8" s="3" t="s">
        <v>584</v>
      </c>
      <c r="D8" s="24">
        <f>D6-D7</f>
        <v>-3.3500000026833732E-3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6"/>
      <c r="C10" s="7" t="s">
        <v>724</v>
      </c>
      <c r="D10" s="24">
        <v>840</v>
      </c>
      <c r="F10" s="5"/>
      <c r="G10" s="6"/>
      <c r="H10" s="7"/>
      <c r="I10" s="24"/>
      <c r="K10" s="5">
        <v>43622</v>
      </c>
      <c r="L10" s="95">
        <v>5960</v>
      </c>
      <c r="M10" s="76" t="s">
        <v>388</v>
      </c>
      <c r="N10" s="79">
        <f>2*240</f>
        <v>480</v>
      </c>
    </row>
    <row r="11" spans="1:14" x14ac:dyDescent="0.25">
      <c r="A11" s="5">
        <v>43517</v>
      </c>
      <c r="B11" s="6"/>
      <c r="C11" s="7" t="s">
        <v>725</v>
      </c>
      <c r="D11" s="24">
        <v>900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43522</v>
      </c>
      <c r="B12" s="6"/>
      <c r="C12" s="7" t="s">
        <v>1477</v>
      </c>
      <c r="D12" s="24">
        <v>500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43537</v>
      </c>
      <c r="B13" s="6" t="s">
        <v>1478</v>
      </c>
      <c r="C13" s="7" t="s">
        <v>1479</v>
      </c>
      <c r="D13" s="24">
        <v>50</v>
      </c>
      <c r="F13" s="5"/>
      <c r="G13" s="6"/>
      <c r="H13" s="7"/>
      <c r="I13" s="24"/>
      <c r="K13" s="8"/>
      <c r="L13" s="6"/>
      <c r="M13" s="7"/>
      <c r="N13" s="24"/>
    </row>
    <row r="14" spans="1:14" x14ac:dyDescent="0.25">
      <c r="A14" s="5">
        <v>43544</v>
      </c>
      <c r="B14" s="6"/>
      <c r="C14" s="7" t="s">
        <v>726</v>
      </c>
      <c r="D14" s="24">
        <v>1800</v>
      </c>
      <c r="F14" s="5"/>
      <c r="G14" s="9"/>
      <c r="H14" s="10"/>
      <c r="I14" s="23"/>
      <c r="K14" s="8"/>
      <c r="L14" s="6"/>
      <c r="M14" s="7"/>
      <c r="N14" s="24"/>
    </row>
    <row r="15" spans="1:14" x14ac:dyDescent="0.25">
      <c r="A15" s="5">
        <v>43545</v>
      </c>
      <c r="B15" s="6" t="s">
        <v>1480</v>
      </c>
      <c r="C15" s="76" t="s">
        <v>250</v>
      </c>
      <c r="D15" s="79">
        <v>365.6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43549</v>
      </c>
      <c r="B16" s="95">
        <v>3501</v>
      </c>
      <c r="C16" s="7" t="s">
        <v>705</v>
      </c>
      <c r="D16" s="24">
        <v>604.5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43549</v>
      </c>
      <c r="B17" s="6"/>
      <c r="C17" s="7" t="s">
        <v>692</v>
      </c>
      <c r="D17" s="24">
        <v>-380.49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43550</v>
      </c>
      <c r="B18" s="95">
        <v>3560</v>
      </c>
      <c r="C18" s="7" t="s">
        <v>705</v>
      </c>
      <c r="D18" s="24">
        <v>137.97000000000003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11">
        <v>43552</v>
      </c>
      <c r="B19" s="95">
        <v>3774</v>
      </c>
      <c r="C19" s="7" t="s">
        <v>705</v>
      </c>
      <c r="D19" s="24">
        <v>43.46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43556</v>
      </c>
      <c r="B20" s="95">
        <v>3160</v>
      </c>
      <c r="C20" s="76" t="s">
        <v>243</v>
      </c>
      <c r="D20" s="79">
        <v>40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43556</v>
      </c>
      <c r="B21" s="95">
        <v>3162</v>
      </c>
      <c r="C21" s="76" t="s">
        <v>262</v>
      </c>
      <c r="D21" s="79">
        <v>55.84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43556</v>
      </c>
      <c r="B22" s="95">
        <v>3172</v>
      </c>
      <c r="C22" s="76" t="s">
        <v>264</v>
      </c>
      <c r="D22" s="79">
        <v>31.9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43558</v>
      </c>
      <c r="B23" s="95" t="s">
        <v>1481</v>
      </c>
      <c r="C23" s="7" t="s">
        <v>1482</v>
      </c>
      <c r="D23" s="23">
        <f>14+90</f>
        <v>104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43564</v>
      </c>
      <c r="B24" s="95">
        <v>3573</v>
      </c>
      <c r="C24" s="76" t="s">
        <v>284</v>
      </c>
      <c r="D24" s="79">
        <v>596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43565</v>
      </c>
      <c r="B25" s="95"/>
      <c r="C25" s="7" t="s">
        <v>1483</v>
      </c>
      <c r="D25" s="24">
        <v>-1676.25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43566</v>
      </c>
      <c r="B26" s="95">
        <v>4662</v>
      </c>
      <c r="C26" s="7" t="s">
        <v>705</v>
      </c>
      <c r="D26" s="23">
        <v>145.63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43566</v>
      </c>
      <c r="B27" s="95"/>
      <c r="C27" s="7" t="s">
        <v>1484</v>
      </c>
      <c r="D27" s="24">
        <f>1479+1528</f>
        <v>3007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>
        <v>43566</v>
      </c>
      <c r="B28" s="95"/>
      <c r="C28" s="7" t="s">
        <v>1485</v>
      </c>
      <c r="D28" s="24">
        <v>-3007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>
        <v>43578</v>
      </c>
      <c r="B29" s="95"/>
      <c r="C29" s="7" t="s">
        <v>727</v>
      </c>
      <c r="D29" s="23">
        <v>1840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>
        <v>43588</v>
      </c>
      <c r="B30" s="95">
        <v>5729</v>
      </c>
      <c r="C30" s="7" t="s">
        <v>705</v>
      </c>
      <c r="D30" s="24">
        <v>19.48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>
        <v>43595</v>
      </c>
      <c r="B31" s="95">
        <v>6141</v>
      </c>
      <c r="C31" s="7" t="s">
        <v>705</v>
      </c>
      <c r="D31" s="24">
        <v>26.83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43609</v>
      </c>
      <c r="B32" s="95"/>
      <c r="C32" s="7" t="s">
        <v>729</v>
      </c>
      <c r="D32" s="24">
        <v>1600</v>
      </c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>
        <v>43612</v>
      </c>
      <c r="B33" s="95">
        <v>5349</v>
      </c>
      <c r="C33" s="76" t="s">
        <v>359</v>
      </c>
      <c r="D33" s="79">
        <f>12.5*11</f>
        <v>137.5</v>
      </c>
      <c r="F33" s="5"/>
      <c r="G33" s="6"/>
      <c r="H33" s="7"/>
      <c r="I33" s="24"/>
      <c r="K33" s="8"/>
      <c r="L33" s="6"/>
      <c r="M33" s="7"/>
      <c r="N33" s="24"/>
    </row>
    <row r="34" spans="1:14" x14ac:dyDescent="0.25">
      <c r="A34" s="5">
        <v>43612</v>
      </c>
      <c r="B34" s="95"/>
      <c r="C34" s="10" t="s">
        <v>1486</v>
      </c>
      <c r="D34" s="23">
        <f>28+10.5+23.5+10+294+14+56</f>
        <v>436</v>
      </c>
      <c r="F34" s="5"/>
      <c r="G34" s="6"/>
      <c r="H34" s="7"/>
      <c r="I34" s="24"/>
      <c r="K34" s="8"/>
      <c r="L34" s="6"/>
      <c r="M34" s="7"/>
      <c r="N34" s="24"/>
    </row>
    <row r="35" spans="1:14" x14ac:dyDescent="0.25">
      <c r="A35" s="5">
        <v>43622</v>
      </c>
      <c r="B35" s="95">
        <v>5949</v>
      </c>
      <c r="C35" s="76" t="s">
        <v>385</v>
      </c>
      <c r="D35" s="79">
        <v>-137.5</v>
      </c>
    </row>
    <row r="36" spans="1:14" x14ac:dyDescent="0.25">
      <c r="A36" s="5">
        <v>43622</v>
      </c>
      <c r="B36" s="95">
        <v>5955</v>
      </c>
      <c r="C36" s="76" t="s">
        <v>386</v>
      </c>
      <c r="D36" s="79">
        <v>50</v>
      </c>
    </row>
    <row r="37" spans="1:14" x14ac:dyDescent="0.25">
      <c r="A37" s="5">
        <v>43623</v>
      </c>
      <c r="B37" s="71"/>
      <c r="C37" s="10" t="s">
        <v>1487</v>
      </c>
      <c r="D37" s="80">
        <v>-1269.45</v>
      </c>
    </row>
    <row r="38" spans="1:14" x14ac:dyDescent="0.25">
      <c r="A38" s="5">
        <v>43640</v>
      </c>
      <c r="B38" s="15"/>
      <c r="C38" s="7" t="s">
        <v>706</v>
      </c>
      <c r="D38" s="24">
        <v>1600</v>
      </c>
    </row>
    <row r="39" spans="1:14" x14ac:dyDescent="0.25">
      <c r="A39" s="5">
        <v>43655</v>
      </c>
      <c r="B39" s="95">
        <v>8820</v>
      </c>
      <c r="C39" s="7" t="s">
        <v>705</v>
      </c>
      <c r="D39" s="24">
        <v>17.36</v>
      </c>
    </row>
    <row r="40" spans="1:14" x14ac:dyDescent="0.25">
      <c r="A40" s="5">
        <v>43662</v>
      </c>
      <c r="B40" s="15"/>
      <c r="C40" s="7" t="s">
        <v>708</v>
      </c>
      <c r="D40" s="24">
        <v>1600</v>
      </c>
    </row>
    <row r="41" spans="1:14" x14ac:dyDescent="0.25">
      <c r="A41" s="5">
        <v>43662</v>
      </c>
      <c r="B41" s="95"/>
      <c r="C41" s="7" t="s">
        <v>1488</v>
      </c>
      <c r="D41" s="24">
        <f>-(3*400*3)-174.31</f>
        <v>-3774.31</v>
      </c>
    </row>
    <row r="42" spans="1:14" x14ac:dyDescent="0.25">
      <c r="A42" s="5">
        <v>43662</v>
      </c>
      <c r="B42" s="95">
        <v>7995</v>
      </c>
      <c r="C42" s="76" t="s">
        <v>447</v>
      </c>
      <c r="D42" s="79">
        <v>1484</v>
      </c>
    </row>
    <row r="43" spans="1:14" x14ac:dyDescent="0.25">
      <c r="A43" s="5">
        <v>43662</v>
      </c>
      <c r="B43" s="95"/>
      <c r="C43" s="7" t="s">
        <v>1489</v>
      </c>
      <c r="D43" s="24">
        <v>-1484</v>
      </c>
    </row>
    <row r="44" spans="1:14" x14ac:dyDescent="0.25">
      <c r="A44" s="5">
        <v>43676</v>
      </c>
      <c r="B44" s="71"/>
      <c r="C44" s="10" t="s">
        <v>1487</v>
      </c>
      <c r="D44" s="80">
        <v>-1145</v>
      </c>
    </row>
    <row r="45" spans="1:14" x14ac:dyDescent="0.25">
      <c r="A45" s="5">
        <v>43682</v>
      </c>
      <c r="B45" s="95">
        <v>9836</v>
      </c>
      <c r="C45" s="7" t="s">
        <v>705</v>
      </c>
      <c r="D45" s="79">
        <v>103.05</v>
      </c>
    </row>
    <row r="46" spans="1:14" x14ac:dyDescent="0.25">
      <c r="A46" s="94">
        <v>608</v>
      </c>
      <c r="B46" s="15" t="s">
        <v>1490</v>
      </c>
      <c r="C46" s="76" t="s">
        <v>1491</v>
      </c>
      <c r="D46" s="23">
        <v>25.5</v>
      </c>
    </row>
    <row r="47" spans="1:14" x14ac:dyDescent="0.25">
      <c r="A47" s="94">
        <v>608</v>
      </c>
      <c r="B47" s="15" t="s">
        <v>1492</v>
      </c>
      <c r="C47" s="76" t="s">
        <v>1491</v>
      </c>
      <c r="D47" s="23">
        <v>51</v>
      </c>
    </row>
    <row r="48" spans="1:14" x14ac:dyDescent="0.25">
      <c r="A48" s="5">
        <v>43686</v>
      </c>
      <c r="B48" s="95">
        <v>10163</v>
      </c>
      <c r="C48" s="7" t="s">
        <v>705</v>
      </c>
      <c r="D48" s="79">
        <v>59.62</v>
      </c>
    </row>
    <row r="49" spans="1:4" x14ac:dyDescent="0.25">
      <c r="A49" s="5">
        <v>43686</v>
      </c>
      <c r="B49" s="95">
        <v>10164</v>
      </c>
      <c r="C49" s="7" t="s">
        <v>705</v>
      </c>
      <c r="D49" s="79">
        <v>18.329999999999998</v>
      </c>
    </row>
    <row r="50" spans="1:4" x14ac:dyDescent="0.25">
      <c r="A50" s="5">
        <v>43691</v>
      </c>
      <c r="B50" s="95"/>
      <c r="C50" s="76" t="s">
        <v>1493</v>
      </c>
      <c r="D50" s="79">
        <v>645</v>
      </c>
    </row>
    <row r="51" spans="1:4" x14ac:dyDescent="0.25">
      <c r="A51" s="5">
        <v>43699</v>
      </c>
      <c r="B51" s="15"/>
      <c r="C51" s="7" t="s">
        <v>733</v>
      </c>
      <c r="D51" s="24">
        <v>1310</v>
      </c>
    </row>
    <row r="52" spans="1:4" x14ac:dyDescent="0.25">
      <c r="A52" s="5">
        <v>43705</v>
      </c>
      <c r="B52" s="95">
        <v>11085</v>
      </c>
      <c r="C52" s="7" t="s">
        <v>705</v>
      </c>
      <c r="D52" s="79">
        <v>16.54</v>
      </c>
    </row>
    <row r="53" spans="1:4" x14ac:dyDescent="0.25">
      <c r="A53" s="5">
        <v>43714</v>
      </c>
      <c r="B53" s="95">
        <v>11585</v>
      </c>
      <c r="C53" s="7" t="s">
        <v>705</v>
      </c>
      <c r="D53" s="79">
        <v>4.72</v>
      </c>
    </row>
    <row r="54" spans="1:4" x14ac:dyDescent="0.25">
      <c r="A54" s="5">
        <v>43714</v>
      </c>
      <c r="B54" s="95">
        <v>11586</v>
      </c>
      <c r="C54" s="7" t="s">
        <v>705</v>
      </c>
      <c r="D54" s="79">
        <v>42.09</v>
      </c>
    </row>
    <row r="55" spans="1:4" x14ac:dyDescent="0.25">
      <c r="A55" s="5">
        <v>43732</v>
      </c>
      <c r="B55" s="15"/>
      <c r="C55" s="7" t="s">
        <v>734</v>
      </c>
      <c r="D55" s="24">
        <v>1200</v>
      </c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70.5703125" customWidth="1"/>
    <col min="4" max="4" width="13.28515625" customWidth="1"/>
    <col min="5" max="5" width="2.5703125" customWidth="1"/>
    <col min="6" max="6" width="5" customWidth="1"/>
    <col min="7" max="7" width="11.28515625" customWidth="1"/>
    <col min="8" max="8" width="35.5703125" customWidth="1"/>
    <col min="9" max="9" width="7.7109375" customWidth="1"/>
    <col min="10" max="10" width="3.14062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1494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Geral!D46</f>
        <v>11513.2222</v>
      </c>
      <c r="F6" s="211" t="s">
        <v>687</v>
      </c>
      <c r="G6" s="212"/>
      <c r="H6" s="14" t="s">
        <v>582</v>
      </c>
      <c r="I6" s="24">
        <f>Geral!E46</f>
        <v>0</v>
      </c>
      <c r="K6" s="230" t="s">
        <v>688</v>
      </c>
      <c r="L6" s="230"/>
      <c r="M6" s="4" t="s">
        <v>582</v>
      </c>
      <c r="N6" s="24">
        <f>Geral!F46</f>
        <v>3029.99</v>
      </c>
    </row>
    <row r="7" spans="1:14" ht="15" customHeight="1" x14ac:dyDescent="0.25">
      <c r="A7" s="230"/>
      <c r="B7" s="230"/>
      <c r="C7" s="3" t="s">
        <v>583</v>
      </c>
      <c r="D7" s="24">
        <f>SUM(D10:D88)</f>
        <v>11513.22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3029.99</v>
      </c>
    </row>
    <row r="8" spans="1:14" ht="15" customHeight="1" x14ac:dyDescent="0.25">
      <c r="A8" s="230"/>
      <c r="B8" s="230"/>
      <c r="C8" s="3" t="s">
        <v>584</v>
      </c>
      <c r="D8" s="24">
        <f>D6-D7</f>
        <v>2.2000000008119969E-3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6"/>
      <c r="C10" s="7" t="s">
        <v>724</v>
      </c>
      <c r="D10" s="24">
        <v>400</v>
      </c>
      <c r="F10" s="5"/>
      <c r="G10" s="6"/>
      <c r="H10" s="7"/>
      <c r="I10" s="24"/>
      <c r="K10" s="5">
        <v>43621</v>
      </c>
      <c r="L10" s="6" t="s">
        <v>1495</v>
      </c>
      <c r="M10" s="76" t="s">
        <v>375</v>
      </c>
      <c r="N10" s="79">
        <v>3029.99</v>
      </c>
    </row>
    <row r="11" spans="1:14" x14ac:dyDescent="0.25">
      <c r="A11" s="5">
        <v>43514</v>
      </c>
      <c r="B11" s="6"/>
      <c r="C11" s="7" t="s">
        <v>1496</v>
      </c>
      <c r="D11" s="24">
        <v>100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43515</v>
      </c>
      <c r="B12" s="6"/>
      <c r="C12" s="7" t="s">
        <v>1497</v>
      </c>
      <c r="D12" s="24">
        <v>5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43517</v>
      </c>
      <c r="B13" s="6"/>
      <c r="C13" s="7" t="s">
        <v>725</v>
      </c>
      <c r="D13" s="23">
        <v>400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43543</v>
      </c>
      <c r="B14" s="6"/>
      <c r="C14" s="7" t="s">
        <v>692</v>
      </c>
      <c r="D14" s="23">
        <v>-47.3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43544</v>
      </c>
      <c r="B15" s="6"/>
      <c r="C15" s="7" t="s">
        <v>726</v>
      </c>
      <c r="D15" s="24">
        <v>400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43544</v>
      </c>
      <c r="B16" s="6" t="s">
        <v>1498</v>
      </c>
      <c r="C16" s="7" t="s">
        <v>1499</v>
      </c>
      <c r="D16" s="24">
        <v>90.21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43544</v>
      </c>
      <c r="B17" s="6" t="s">
        <v>1500</v>
      </c>
      <c r="C17" s="7" t="s">
        <v>1499</v>
      </c>
      <c r="D17" s="24">
        <v>11.45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43544</v>
      </c>
      <c r="B18" s="6" t="s">
        <v>1501</v>
      </c>
      <c r="C18" s="7" t="s">
        <v>1502</v>
      </c>
      <c r="D18" s="23">
        <v>421.91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43544</v>
      </c>
      <c r="B19" s="6" t="s">
        <v>1503</v>
      </c>
      <c r="C19" s="7" t="s">
        <v>1504</v>
      </c>
      <c r="D19" s="24">
        <v>64.989999999999995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43544</v>
      </c>
      <c r="B20" s="6" t="s">
        <v>1505</v>
      </c>
      <c r="C20" s="7" t="s">
        <v>1506</v>
      </c>
      <c r="D20" s="24">
        <v>28.87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43545</v>
      </c>
      <c r="B21" s="6" t="s">
        <v>1507</v>
      </c>
      <c r="C21" s="7" t="s">
        <v>776</v>
      </c>
      <c r="D21" s="24">
        <v>140.21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43550</v>
      </c>
      <c r="B22" s="6" t="s">
        <v>1508</v>
      </c>
      <c r="C22" s="7" t="s">
        <v>189</v>
      </c>
      <c r="D22" s="24">
        <v>20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43556</v>
      </c>
      <c r="B23" s="6" t="s">
        <v>1509</v>
      </c>
      <c r="C23" s="76" t="s">
        <v>189</v>
      </c>
      <c r="D23" s="79">
        <v>20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43558</v>
      </c>
      <c r="B24" s="6" t="s">
        <v>1510</v>
      </c>
      <c r="C24" s="7" t="s">
        <v>776</v>
      </c>
      <c r="D24" s="24">
        <f>57.67-40.4</f>
        <v>17.270000000000003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>
        <v>43565</v>
      </c>
      <c r="B25" s="6" t="s">
        <v>1511</v>
      </c>
      <c r="C25" s="7" t="s">
        <v>776</v>
      </c>
      <c r="D25" s="24">
        <v>133.84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>
        <v>43566</v>
      </c>
      <c r="B26" s="6" t="s">
        <v>1512</v>
      </c>
      <c r="C26" s="7" t="s">
        <v>776</v>
      </c>
      <c r="D26" s="24">
        <v>270.89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>
        <v>43566</v>
      </c>
      <c r="B27" s="6"/>
      <c r="C27" s="7" t="s">
        <v>1513</v>
      </c>
      <c r="D27" s="24">
        <v>4.3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>
        <v>43567</v>
      </c>
      <c r="B28" s="6" t="s">
        <v>1514</v>
      </c>
      <c r="C28" s="7" t="s">
        <v>776</v>
      </c>
      <c r="D28" s="24">
        <v>113</v>
      </c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>
        <v>43567</v>
      </c>
      <c r="B29" s="6" t="s">
        <v>1515</v>
      </c>
      <c r="C29" s="7" t="s">
        <v>776</v>
      </c>
      <c r="D29" s="24">
        <v>99.04</v>
      </c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>
        <v>43570</v>
      </c>
      <c r="B30" s="6" t="s">
        <v>1516</v>
      </c>
      <c r="C30" s="7" t="s">
        <v>776</v>
      </c>
      <c r="D30" s="24">
        <v>486.11</v>
      </c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>
        <v>43571</v>
      </c>
      <c r="B31" s="6" t="s">
        <v>1517</v>
      </c>
      <c r="C31" s="7" t="s">
        <v>776</v>
      </c>
      <c r="D31" s="24">
        <v>49.27</v>
      </c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>
        <v>43571</v>
      </c>
      <c r="B32" s="6" t="s">
        <v>1518</v>
      </c>
      <c r="C32" s="7" t="s">
        <v>1519</v>
      </c>
      <c r="D32" s="23">
        <v>128.97999999999999</v>
      </c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>
        <v>43573</v>
      </c>
      <c r="B33" s="6" t="s">
        <v>1520</v>
      </c>
      <c r="C33" s="76" t="s">
        <v>320</v>
      </c>
      <c r="D33" s="79">
        <v>2338.8000000000002</v>
      </c>
      <c r="F33" s="31"/>
      <c r="G33" s="32"/>
      <c r="H33" s="33"/>
      <c r="I33" s="41"/>
      <c r="K33" s="35"/>
      <c r="L33" s="32"/>
      <c r="M33" s="33"/>
      <c r="N33" s="41"/>
    </row>
    <row r="34" spans="1:14" x14ac:dyDescent="0.25">
      <c r="A34" s="5">
        <v>43573</v>
      </c>
      <c r="B34" s="71"/>
      <c r="C34" s="10" t="s">
        <v>1521</v>
      </c>
      <c r="D34" s="23">
        <v>-2338.8000000000002</v>
      </c>
      <c r="F34" s="31"/>
      <c r="G34" s="32"/>
      <c r="H34" s="33"/>
      <c r="I34" s="41"/>
      <c r="K34" s="35"/>
      <c r="L34" s="32"/>
      <c r="M34" s="33"/>
      <c r="N34" s="41"/>
    </row>
    <row r="35" spans="1:14" x14ac:dyDescent="0.25">
      <c r="A35" s="5">
        <v>43573</v>
      </c>
      <c r="B35" s="6" t="s">
        <v>1522</v>
      </c>
      <c r="C35" s="7" t="s">
        <v>1519</v>
      </c>
      <c r="D35" s="23">
        <v>5.14</v>
      </c>
      <c r="F35" s="31"/>
      <c r="G35" s="32"/>
      <c r="H35" s="33"/>
      <c r="I35" s="41"/>
      <c r="K35" s="35"/>
      <c r="L35" s="32"/>
      <c r="M35" s="33"/>
      <c r="N35" s="41"/>
    </row>
    <row r="36" spans="1:14" x14ac:dyDescent="0.25">
      <c r="A36" s="5">
        <v>43578</v>
      </c>
      <c r="B36" s="6"/>
      <c r="C36" s="7" t="s">
        <v>727</v>
      </c>
      <c r="D36" s="23">
        <v>500</v>
      </c>
      <c r="F36" s="31"/>
      <c r="G36" s="32"/>
      <c r="H36" s="33"/>
      <c r="I36" s="41"/>
      <c r="K36" s="35"/>
      <c r="L36" s="32"/>
      <c r="M36" s="33"/>
      <c r="N36" s="41"/>
    </row>
    <row r="37" spans="1:14" x14ac:dyDescent="0.25">
      <c r="A37" s="5">
        <v>43580</v>
      </c>
      <c r="B37" s="6" t="s">
        <v>1523</v>
      </c>
      <c r="C37" s="7" t="s">
        <v>1519</v>
      </c>
      <c r="D37" s="23">
        <v>36.43</v>
      </c>
      <c r="F37" s="31"/>
      <c r="G37" s="32"/>
      <c r="H37" s="33"/>
      <c r="I37" s="41"/>
      <c r="K37" s="35"/>
      <c r="L37" s="32"/>
      <c r="M37" s="33"/>
      <c r="N37" s="41"/>
    </row>
    <row r="38" spans="1:14" x14ac:dyDescent="0.25">
      <c r="A38" s="5">
        <v>43581</v>
      </c>
      <c r="B38" s="6"/>
      <c r="C38" s="10" t="s">
        <v>1524</v>
      </c>
      <c r="D38" s="23">
        <v>50</v>
      </c>
      <c r="F38" s="31"/>
      <c r="G38" s="32"/>
      <c r="H38" s="33"/>
      <c r="I38" s="41"/>
      <c r="K38" s="35"/>
      <c r="L38" s="32"/>
      <c r="M38" s="33"/>
      <c r="N38" s="41"/>
    </row>
    <row r="39" spans="1:14" x14ac:dyDescent="0.25">
      <c r="A39" s="5">
        <v>43591</v>
      </c>
      <c r="B39" s="6"/>
      <c r="C39" s="7" t="s">
        <v>1525</v>
      </c>
      <c r="D39" s="23">
        <f>95.78+71.98+95.78+71.98+97.88+300</f>
        <v>733.4</v>
      </c>
      <c r="F39" s="31"/>
      <c r="G39" s="32"/>
      <c r="H39" s="33"/>
      <c r="I39" s="41"/>
      <c r="K39" s="35"/>
      <c r="L39" s="32"/>
      <c r="M39" s="33"/>
      <c r="N39" s="41"/>
    </row>
    <row r="40" spans="1:14" x14ac:dyDescent="0.25">
      <c r="A40" s="5">
        <v>43608</v>
      </c>
      <c r="B40" s="6" t="s">
        <v>1526</v>
      </c>
      <c r="C40" s="7" t="s">
        <v>1519</v>
      </c>
      <c r="D40" s="23">
        <v>5.9</v>
      </c>
      <c r="F40" s="31"/>
      <c r="G40" s="32"/>
      <c r="H40" s="33"/>
      <c r="I40" s="41"/>
      <c r="K40" s="35"/>
      <c r="L40" s="32"/>
      <c r="M40" s="33"/>
      <c r="N40" s="41"/>
    </row>
    <row r="41" spans="1:14" x14ac:dyDescent="0.25">
      <c r="A41" s="5">
        <v>43609</v>
      </c>
      <c r="B41" s="6"/>
      <c r="C41" s="7" t="s">
        <v>729</v>
      </c>
      <c r="D41" s="23">
        <v>500</v>
      </c>
      <c r="F41" s="31"/>
      <c r="G41" s="32"/>
      <c r="H41" s="33"/>
      <c r="I41" s="41"/>
      <c r="K41" s="35"/>
      <c r="L41" s="32"/>
      <c r="M41" s="33"/>
      <c r="N41" s="41"/>
    </row>
    <row r="42" spans="1:14" x14ac:dyDescent="0.25">
      <c r="A42" s="5">
        <v>43609</v>
      </c>
      <c r="B42" s="6" t="s">
        <v>1527</v>
      </c>
      <c r="C42" s="7" t="s">
        <v>1519</v>
      </c>
      <c r="D42" s="23">
        <v>46.35</v>
      </c>
      <c r="F42" s="31"/>
      <c r="G42" s="32"/>
      <c r="H42" s="33"/>
      <c r="I42" s="41"/>
      <c r="K42" s="35"/>
      <c r="L42" s="32"/>
      <c r="M42" s="33"/>
      <c r="N42" s="41"/>
    </row>
    <row r="43" spans="1:14" x14ac:dyDescent="0.25">
      <c r="A43" s="5">
        <v>43609</v>
      </c>
      <c r="B43" s="6" t="s">
        <v>1528</v>
      </c>
      <c r="C43" s="7" t="s">
        <v>1519</v>
      </c>
      <c r="D43" s="23">
        <v>26.24</v>
      </c>
      <c r="F43" s="31"/>
      <c r="G43" s="32"/>
      <c r="H43" s="33"/>
      <c r="I43" s="41"/>
      <c r="K43" s="35"/>
      <c r="L43" s="32"/>
      <c r="M43" s="33"/>
      <c r="N43" s="41"/>
    </row>
    <row r="44" spans="1:14" x14ac:dyDescent="0.25">
      <c r="A44" s="5">
        <v>43612</v>
      </c>
      <c r="B44" s="6"/>
      <c r="C44" s="7" t="s">
        <v>1529</v>
      </c>
      <c r="D44" s="23">
        <v>750</v>
      </c>
      <c r="F44" s="31"/>
      <c r="G44" s="32"/>
      <c r="H44" s="33"/>
      <c r="I44" s="41"/>
      <c r="K44" s="35"/>
      <c r="L44" s="32"/>
      <c r="M44" s="33"/>
      <c r="N44" s="41"/>
    </row>
    <row r="45" spans="1:14" x14ac:dyDescent="0.25">
      <c r="A45" s="5">
        <v>43612</v>
      </c>
      <c r="B45" s="6"/>
      <c r="C45" s="7" t="s">
        <v>1530</v>
      </c>
      <c r="D45" s="23">
        <v>-750</v>
      </c>
      <c r="F45" s="31"/>
      <c r="G45" s="32"/>
      <c r="H45" s="33"/>
      <c r="I45" s="41"/>
      <c r="K45" s="35"/>
      <c r="L45" s="32"/>
      <c r="M45" s="33"/>
      <c r="N45" s="41"/>
    </row>
    <row r="46" spans="1:14" x14ac:dyDescent="0.25">
      <c r="A46" s="5">
        <v>43612</v>
      </c>
      <c r="B46" s="6"/>
      <c r="C46" s="7" t="s">
        <v>1531</v>
      </c>
      <c r="D46" s="23">
        <v>9</v>
      </c>
      <c r="F46" s="31"/>
      <c r="G46" s="32"/>
      <c r="H46" s="33"/>
      <c r="I46" s="41"/>
      <c r="K46" s="35"/>
      <c r="L46" s="32"/>
      <c r="M46" s="33"/>
      <c r="N46" s="41"/>
    </row>
    <row r="47" spans="1:14" x14ac:dyDescent="0.25">
      <c r="A47" s="5">
        <v>43612</v>
      </c>
      <c r="B47" s="6"/>
      <c r="C47" s="7" t="s">
        <v>1532</v>
      </c>
      <c r="D47" s="23">
        <v>125</v>
      </c>
      <c r="F47" s="31"/>
      <c r="G47" s="32"/>
      <c r="H47" s="33"/>
      <c r="I47" s="41"/>
      <c r="K47" s="35"/>
      <c r="L47" s="32"/>
      <c r="M47" s="33"/>
      <c r="N47" s="41"/>
    </row>
    <row r="48" spans="1:14" x14ac:dyDescent="0.25">
      <c r="A48" s="5">
        <v>43612</v>
      </c>
      <c r="B48" s="6" t="s">
        <v>1533</v>
      </c>
      <c r="C48" s="7" t="s">
        <v>1519</v>
      </c>
      <c r="D48" s="23">
        <v>13.5</v>
      </c>
      <c r="F48" s="31"/>
      <c r="G48" s="32"/>
      <c r="H48" s="33"/>
      <c r="I48" s="41"/>
      <c r="K48" s="35"/>
      <c r="L48" s="32"/>
      <c r="M48" s="33"/>
      <c r="N48" s="41"/>
    </row>
    <row r="49" spans="1:14" x14ac:dyDescent="0.25">
      <c r="A49" s="5">
        <v>43613</v>
      </c>
      <c r="B49" s="6" t="s">
        <v>1534</v>
      </c>
      <c r="C49" s="76" t="s">
        <v>360</v>
      </c>
      <c r="D49" s="79">
        <f>2*12.5</f>
        <v>25</v>
      </c>
      <c r="F49" s="31"/>
      <c r="G49" s="32"/>
      <c r="H49" s="33"/>
      <c r="I49" s="41"/>
      <c r="K49" s="35"/>
      <c r="L49" s="32"/>
      <c r="M49" s="33"/>
      <c r="N49" s="41"/>
    </row>
    <row r="50" spans="1:14" x14ac:dyDescent="0.25">
      <c r="A50" s="5">
        <v>43619</v>
      </c>
      <c r="B50" s="6"/>
      <c r="C50" s="7" t="s">
        <v>1535</v>
      </c>
      <c r="D50" s="23">
        <f>99.98+99.98</f>
        <v>199.96</v>
      </c>
      <c r="F50" s="31"/>
      <c r="G50" s="32"/>
      <c r="H50" s="33"/>
      <c r="I50" s="41"/>
      <c r="K50" s="35"/>
      <c r="L50" s="32"/>
      <c r="M50" s="33"/>
      <c r="N50" s="41"/>
    </row>
    <row r="51" spans="1:14" x14ac:dyDescent="0.25">
      <c r="A51" s="5">
        <v>43620</v>
      </c>
      <c r="B51" s="6" t="s">
        <v>1536</v>
      </c>
      <c r="C51" s="7" t="s">
        <v>1519</v>
      </c>
      <c r="D51" s="23">
        <v>32.75</v>
      </c>
      <c r="F51" s="31"/>
      <c r="G51" s="32"/>
      <c r="H51" s="33"/>
      <c r="I51" s="41"/>
      <c r="K51" s="35"/>
      <c r="L51" s="32"/>
      <c r="M51" s="33"/>
      <c r="N51" s="41"/>
    </row>
    <row r="52" spans="1:14" x14ac:dyDescent="0.25">
      <c r="A52" s="5">
        <v>43620</v>
      </c>
      <c r="B52" s="6" t="s">
        <v>1537</v>
      </c>
      <c r="C52" s="7" t="s">
        <v>1519</v>
      </c>
      <c r="D52" s="23">
        <v>24.8</v>
      </c>
      <c r="F52" s="31"/>
      <c r="G52" s="32"/>
      <c r="H52" s="33"/>
      <c r="I52" s="41"/>
      <c r="K52" s="35"/>
      <c r="L52" s="32"/>
      <c r="M52" s="33"/>
      <c r="N52" s="41"/>
    </row>
    <row r="53" spans="1:14" x14ac:dyDescent="0.25">
      <c r="A53" s="5">
        <v>43627</v>
      </c>
      <c r="B53" s="6" t="s">
        <v>1538</v>
      </c>
      <c r="C53" s="7" t="s">
        <v>1519</v>
      </c>
      <c r="D53" s="23">
        <v>224.46</v>
      </c>
      <c r="F53" s="31"/>
      <c r="G53" s="32"/>
      <c r="H53" s="33"/>
      <c r="I53" s="41"/>
      <c r="K53" s="35"/>
      <c r="L53" s="32"/>
      <c r="M53" s="33"/>
      <c r="N53" s="41"/>
    </row>
    <row r="54" spans="1:14" x14ac:dyDescent="0.25">
      <c r="A54" s="5">
        <v>43627</v>
      </c>
      <c r="B54" s="6" t="s">
        <v>1539</v>
      </c>
      <c r="C54" s="7" t="s">
        <v>1519</v>
      </c>
      <c r="D54" s="23">
        <v>95.12</v>
      </c>
      <c r="F54" s="31"/>
      <c r="G54" s="32"/>
      <c r="H54" s="33"/>
      <c r="I54" s="41"/>
      <c r="K54" s="35"/>
      <c r="L54" s="32"/>
      <c r="M54" s="33"/>
      <c r="N54" s="41"/>
    </row>
    <row r="55" spans="1:14" x14ac:dyDescent="0.25">
      <c r="A55" s="5">
        <v>43629</v>
      </c>
      <c r="B55" s="6" t="s">
        <v>1540</v>
      </c>
      <c r="C55" s="7" t="s">
        <v>1519</v>
      </c>
      <c r="D55" s="23">
        <v>113.9</v>
      </c>
      <c r="F55" s="31"/>
      <c r="G55" s="32"/>
      <c r="H55" s="33"/>
      <c r="I55" s="41"/>
      <c r="K55" s="35"/>
      <c r="L55" s="32"/>
      <c r="M55" s="33"/>
      <c r="N55" s="41"/>
    </row>
    <row r="56" spans="1:14" x14ac:dyDescent="0.25">
      <c r="A56" s="5">
        <v>43629</v>
      </c>
      <c r="B56" s="6" t="s">
        <v>1541</v>
      </c>
      <c r="C56" s="7" t="s">
        <v>1519</v>
      </c>
      <c r="D56" s="23">
        <v>154.5</v>
      </c>
      <c r="F56" s="31"/>
      <c r="G56" s="32"/>
      <c r="H56" s="33"/>
      <c r="I56" s="41"/>
      <c r="K56" s="35"/>
      <c r="L56" s="32"/>
      <c r="M56" s="33"/>
      <c r="N56" s="41"/>
    </row>
    <row r="57" spans="1:14" x14ac:dyDescent="0.25">
      <c r="A57" s="5">
        <v>43640</v>
      </c>
      <c r="B57" s="6"/>
      <c r="C57" s="7" t="s">
        <v>706</v>
      </c>
      <c r="D57" s="23">
        <v>500</v>
      </c>
      <c r="F57" s="31"/>
      <c r="G57" s="32"/>
      <c r="H57" s="33"/>
      <c r="I57" s="41"/>
      <c r="K57" s="35"/>
      <c r="L57" s="32"/>
      <c r="M57" s="33"/>
      <c r="N57" s="41"/>
    </row>
    <row r="58" spans="1:14" x14ac:dyDescent="0.25">
      <c r="A58" s="5">
        <v>43648</v>
      </c>
      <c r="B58" s="6" t="s">
        <v>1542</v>
      </c>
      <c r="C58" s="7" t="s">
        <v>1519</v>
      </c>
      <c r="D58" s="23">
        <v>7.69</v>
      </c>
      <c r="F58" s="31"/>
      <c r="G58" s="32"/>
      <c r="H58" s="33"/>
      <c r="I58" s="41"/>
      <c r="K58" s="35"/>
      <c r="L58" s="32"/>
      <c r="M58" s="33"/>
      <c r="N58" s="41"/>
    </row>
    <row r="59" spans="1:14" x14ac:dyDescent="0.25">
      <c r="A59" s="5">
        <v>43650</v>
      </c>
      <c r="B59" s="6" t="s">
        <v>1543</v>
      </c>
      <c r="C59" s="7" t="s">
        <v>1519</v>
      </c>
      <c r="D59" s="23">
        <v>96.24</v>
      </c>
      <c r="F59" s="31"/>
      <c r="G59" s="32"/>
      <c r="H59" s="33"/>
      <c r="I59" s="41"/>
      <c r="K59" s="35"/>
      <c r="L59" s="32"/>
      <c r="M59" s="33"/>
      <c r="N59" s="41"/>
    </row>
    <row r="60" spans="1:14" x14ac:dyDescent="0.25">
      <c r="A60" s="5">
        <v>43654</v>
      </c>
      <c r="B60" s="6" t="s">
        <v>1544</v>
      </c>
      <c r="C60" s="7" t="s">
        <v>1519</v>
      </c>
      <c r="D60" s="23">
        <v>97.21</v>
      </c>
      <c r="F60" s="31"/>
      <c r="G60" s="32"/>
      <c r="H60" s="33"/>
      <c r="I60" s="41"/>
      <c r="K60" s="35"/>
      <c r="L60" s="32"/>
      <c r="M60" s="33"/>
      <c r="N60" s="41"/>
    </row>
    <row r="61" spans="1:14" x14ac:dyDescent="0.25">
      <c r="A61" s="5">
        <v>43655</v>
      </c>
      <c r="B61" s="6" t="s">
        <v>1545</v>
      </c>
      <c r="C61" s="7" t="s">
        <v>1519</v>
      </c>
      <c r="D61" s="23">
        <v>240</v>
      </c>
      <c r="F61" s="31"/>
      <c r="G61" s="32"/>
      <c r="H61" s="33"/>
      <c r="I61" s="41"/>
      <c r="K61" s="35"/>
      <c r="L61" s="32"/>
      <c r="M61" s="33"/>
      <c r="N61" s="41"/>
    </row>
    <row r="62" spans="1:14" x14ac:dyDescent="0.25">
      <c r="A62" s="5">
        <v>43657</v>
      </c>
      <c r="B62" s="6" t="s">
        <v>1546</v>
      </c>
      <c r="C62" s="7" t="s">
        <v>1519</v>
      </c>
      <c r="D62" s="23">
        <v>56</v>
      </c>
      <c r="F62" s="31"/>
      <c r="G62" s="32"/>
      <c r="H62" s="33"/>
      <c r="I62" s="41"/>
      <c r="K62" s="35"/>
      <c r="L62" s="32"/>
      <c r="M62" s="33"/>
      <c r="N62" s="41"/>
    </row>
    <row r="63" spans="1:14" x14ac:dyDescent="0.25">
      <c r="A63" s="5">
        <v>43662</v>
      </c>
      <c r="B63" s="6"/>
      <c r="C63" s="7" t="s">
        <v>708</v>
      </c>
      <c r="D63" s="23">
        <v>500</v>
      </c>
      <c r="F63" s="31"/>
      <c r="G63" s="32"/>
      <c r="H63" s="33"/>
      <c r="I63" s="41"/>
      <c r="K63" s="35"/>
      <c r="L63" s="32"/>
      <c r="M63" s="33"/>
      <c r="N63" s="41"/>
    </row>
    <row r="64" spans="1:14" x14ac:dyDescent="0.25">
      <c r="A64" s="5">
        <v>43662</v>
      </c>
      <c r="B64" s="6" t="s">
        <v>1547</v>
      </c>
      <c r="C64" s="7" t="s">
        <v>1519</v>
      </c>
      <c r="D64" s="23">
        <v>178.66</v>
      </c>
      <c r="F64" s="31"/>
      <c r="G64" s="32"/>
      <c r="H64" s="33"/>
      <c r="I64" s="41"/>
      <c r="K64" s="35"/>
      <c r="L64" s="32"/>
      <c r="M64" s="33"/>
      <c r="N64" s="41"/>
    </row>
    <row r="65" spans="1:14" x14ac:dyDescent="0.25">
      <c r="A65" s="5">
        <v>43665</v>
      </c>
      <c r="B65" s="6" t="s">
        <v>1548</v>
      </c>
      <c r="C65" s="7" t="s">
        <v>1519</v>
      </c>
      <c r="D65" s="23">
        <v>396.68</v>
      </c>
      <c r="F65" s="31"/>
      <c r="G65" s="32"/>
      <c r="H65" s="33"/>
      <c r="I65" s="41"/>
      <c r="K65" s="35"/>
      <c r="L65" s="32"/>
      <c r="M65" s="33"/>
      <c r="N65" s="41"/>
    </row>
    <row r="66" spans="1:14" x14ac:dyDescent="0.25">
      <c r="A66" s="5">
        <v>43677</v>
      </c>
      <c r="B66" s="6" t="s">
        <v>1549</v>
      </c>
      <c r="C66" s="7" t="s">
        <v>1550</v>
      </c>
      <c r="D66" s="23">
        <v>42.76</v>
      </c>
      <c r="F66" s="31"/>
      <c r="G66" s="32"/>
      <c r="H66" s="33"/>
      <c r="I66" s="41"/>
      <c r="K66" s="35"/>
      <c r="L66" s="32"/>
      <c r="M66" s="33"/>
      <c r="N66" s="41"/>
    </row>
    <row r="67" spans="1:14" x14ac:dyDescent="0.25">
      <c r="A67" s="5">
        <v>43683</v>
      </c>
      <c r="B67" s="6" t="s">
        <v>1551</v>
      </c>
      <c r="C67" s="7" t="s">
        <v>1519</v>
      </c>
      <c r="D67" s="23">
        <v>17.690000000000001</v>
      </c>
      <c r="F67" s="31"/>
      <c r="G67" s="32"/>
      <c r="H67" s="33"/>
      <c r="I67" s="41"/>
      <c r="K67" s="35"/>
      <c r="L67" s="32"/>
      <c r="M67" s="33"/>
      <c r="N67" s="41"/>
    </row>
    <row r="68" spans="1:14" x14ac:dyDescent="0.25">
      <c r="A68" s="5">
        <v>43683</v>
      </c>
      <c r="B68" s="6" t="s">
        <v>1552</v>
      </c>
      <c r="C68" s="7" t="s">
        <v>1519</v>
      </c>
      <c r="D68" s="23">
        <v>57.77</v>
      </c>
      <c r="F68" s="31"/>
      <c r="G68" s="32"/>
      <c r="H68" s="33"/>
      <c r="I68" s="41"/>
      <c r="K68" s="35"/>
      <c r="L68" s="32"/>
      <c r="M68" s="33"/>
      <c r="N68" s="41"/>
    </row>
    <row r="69" spans="1:14" x14ac:dyDescent="0.25">
      <c r="A69" s="5">
        <v>43691</v>
      </c>
      <c r="B69" s="6" t="s">
        <v>1553</v>
      </c>
      <c r="C69" s="7" t="s">
        <v>1519</v>
      </c>
      <c r="D69" s="23">
        <v>6.43</v>
      </c>
      <c r="F69" s="31"/>
      <c r="G69" s="32"/>
      <c r="H69" s="33"/>
      <c r="I69" s="41"/>
      <c r="K69" s="35"/>
      <c r="L69" s="32"/>
      <c r="M69" s="33"/>
      <c r="N69" s="41"/>
    </row>
    <row r="70" spans="1:14" x14ac:dyDescent="0.25">
      <c r="A70" s="5">
        <v>43693</v>
      </c>
      <c r="B70" s="6"/>
      <c r="C70" s="7" t="s">
        <v>1554</v>
      </c>
      <c r="D70" s="23">
        <f>330+97.98+73.98+95.98+73.98+95.98</f>
        <v>767.90000000000009</v>
      </c>
      <c r="F70" s="31"/>
      <c r="G70" s="32"/>
      <c r="H70" s="33"/>
      <c r="I70" s="41"/>
      <c r="K70" s="35"/>
      <c r="L70" s="32"/>
      <c r="M70" s="33"/>
      <c r="N70" s="41"/>
    </row>
    <row r="71" spans="1:14" x14ac:dyDescent="0.25">
      <c r="A71" s="5">
        <v>43693</v>
      </c>
      <c r="B71" s="6"/>
      <c r="C71" s="7" t="s">
        <v>1555</v>
      </c>
      <c r="D71" s="23">
        <f>95.98+71.98+95.98+71.98+95.98+71.98+95.98</f>
        <v>599.86</v>
      </c>
      <c r="F71" s="31"/>
      <c r="G71" s="32"/>
      <c r="H71" s="33"/>
      <c r="I71" s="41"/>
      <c r="K71" s="35"/>
      <c r="L71" s="32"/>
      <c r="M71" s="33"/>
      <c r="N71" s="41"/>
    </row>
    <row r="72" spans="1:14" x14ac:dyDescent="0.25">
      <c r="A72" s="5">
        <v>43696</v>
      </c>
      <c r="B72" s="6" t="s">
        <v>1556</v>
      </c>
      <c r="C72" s="7" t="s">
        <v>1519</v>
      </c>
      <c r="D72" s="23">
        <v>124.42</v>
      </c>
      <c r="F72" s="31"/>
      <c r="G72" s="32"/>
      <c r="H72" s="33"/>
      <c r="I72" s="41"/>
      <c r="K72" s="35"/>
      <c r="L72" s="32"/>
      <c r="M72" s="33"/>
      <c r="N72" s="41"/>
    </row>
    <row r="73" spans="1:14" x14ac:dyDescent="0.25">
      <c r="A73" s="5">
        <v>43697</v>
      </c>
      <c r="B73" s="6" t="s">
        <v>1557</v>
      </c>
      <c r="C73" s="7" t="s">
        <v>1519</v>
      </c>
      <c r="D73" s="23">
        <v>113</v>
      </c>
      <c r="F73" s="31"/>
      <c r="G73" s="32"/>
      <c r="H73" s="33"/>
      <c r="I73" s="41"/>
      <c r="K73" s="35"/>
      <c r="L73" s="32"/>
      <c r="M73" s="33"/>
      <c r="N73" s="41"/>
    </row>
    <row r="74" spans="1:14" x14ac:dyDescent="0.25">
      <c r="A74" s="5">
        <v>43697</v>
      </c>
      <c r="B74" s="6" t="s">
        <v>1558</v>
      </c>
      <c r="C74" s="7" t="s">
        <v>1519</v>
      </c>
      <c r="D74" s="23">
        <v>4.95</v>
      </c>
      <c r="F74" s="31"/>
      <c r="G74" s="32"/>
      <c r="H74" s="33"/>
      <c r="I74" s="41"/>
      <c r="K74" s="35"/>
      <c r="L74" s="32"/>
      <c r="M74" s="33"/>
      <c r="N74" s="41"/>
    </row>
    <row r="75" spans="1:14" x14ac:dyDescent="0.25">
      <c r="A75" s="5">
        <v>43698</v>
      </c>
      <c r="B75" s="6" t="s">
        <v>1559</v>
      </c>
      <c r="C75" s="7" t="s">
        <v>1519</v>
      </c>
      <c r="D75" s="23">
        <v>58.69</v>
      </c>
      <c r="F75" s="31"/>
      <c r="G75" s="32"/>
      <c r="H75" s="33"/>
      <c r="I75" s="41"/>
      <c r="K75" s="35"/>
      <c r="L75" s="32"/>
      <c r="M75" s="33"/>
      <c r="N75" s="41"/>
    </row>
    <row r="76" spans="1:14" x14ac:dyDescent="0.25">
      <c r="A76" s="5">
        <v>43698</v>
      </c>
      <c r="B76" s="6"/>
      <c r="C76" s="7" t="s">
        <v>1560</v>
      </c>
      <c r="D76" s="23">
        <f>15.6+275</f>
        <v>290.60000000000002</v>
      </c>
      <c r="F76" s="31"/>
      <c r="G76" s="32"/>
      <c r="H76" s="33"/>
      <c r="I76" s="41"/>
      <c r="K76" s="35"/>
      <c r="L76" s="32"/>
      <c r="M76" s="33"/>
      <c r="N76" s="41"/>
    </row>
    <row r="77" spans="1:14" x14ac:dyDescent="0.25">
      <c r="A77" s="5">
        <v>43699</v>
      </c>
      <c r="B77" s="6"/>
      <c r="C77" s="7" t="s">
        <v>733</v>
      </c>
      <c r="D77" s="23">
        <v>500</v>
      </c>
      <c r="F77" s="31"/>
      <c r="G77" s="32"/>
      <c r="H77" s="33"/>
      <c r="I77" s="41"/>
      <c r="K77" s="35"/>
      <c r="L77" s="32"/>
      <c r="M77" s="33"/>
      <c r="N77" s="41"/>
    </row>
    <row r="78" spans="1:14" x14ac:dyDescent="0.25">
      <c r="A78" s="5">
        <v>43700</v>
      </c>
      <c r="B78" s="6" t="s">
        <v>1561</v>
      </c>
      <c r="C78" s="7" t="s">
        <v>1519</v>
      </c>
      <c r="D78" s="23">
        <v>12.87</v>
      </c>
      <c r="F78" s="31"/>
      <c r="G78" s="32"/>
      <c r="H78" s="33"/>
      <c r="I78" s="41"/>
      <c r="K78" s="35"/>
      <c r="L78" s="32"/>
      <c r="M78" s="33"/>
      <c r="N78" s="41"/>
    </row>
    <row r="79" spans="1:14" x14ac:dyDescent="0.25">
      <c r="A79" s="5">
        <v>43710</v>
      </c>
      <c r="B79" s="6" t="s">
        <v>1562</v>
      </c>
      <c r="C79" s="7" t="s">
        <v>1519</v>
      </c>
      <c r="D79" s="23">
        <v>21.74</v>
      </c>
    </row>
    <row r="80" spans="1:14" x14ac:dyDescent="0.25">
      <c r="A80" s="5">
        <v>43710</v>
      </c>
      <c r="B80" s="6" t="s">
        <v>1563</v>
      </c>
      <c r="C80" s="7" t="s">
        <v>1519</v>
      </c>
      <c r="D80" s="23">
        <v>22.88</v>
      </c>
    </row>
    <row r="81" spans="1:4" x14ac:dyDescent="0.25">
      <c r="A81" s="5">
        <v>43713</v>
      </c>
      <c r="B81" s="6" t="s">
        <v>1564</v>
      </c>
      <c r="C81" s="7" t="s">
        <v>1519</v>
      </c>
      <c r="D81" s="23">
        <v>1</v>
      </c>
    </row>
    <row r="82" spans="1:4" x14ac:dyDescent="0.25">
      <c r="A82" s="5">
        <v>43714</v>
      </c>
      <c r="B82" s="6"/>
      <c r="C82" s="7" t="s">
        <v>1565</v>
      </c>
      <c r="D82" s="23">
        <f>93.98+70.78+70.78+30</f>
        <v>265.53999999999996</v>
      </c>
    </row>
    <row r="83" spans="1:4" x14ac:dyDescent="0.25">
      <c r="A83" s="5">
        <v>43726</v>
      </c>
      <c r="B83" s="95"/>
      <c r="C83" s="7" t="s">
        <v>710</v>
      </c>
      <c r="D83" s="23">
        <v>500</v>
      </c>
    </row>
    <row r="84" spans="1:4" x14ac:dyDescent="0.25">
      <c r="A84" s="5">
        <v>43734</v>
      </c>
      <c r="B84" s="6"/>
      <c r="C84" s="7" t="s">
        <v>1566</v>
      </c>
      <c r="D84" s="23">
        <v>15.3</v>
      </c>
    </row>
    <row r="85" spans="1:4" x14ac:dyDescent="0.25">
      <c r="A85" s="5">
        <v>43752</v>
      </c>
      <c r="B85" s="6"/>
      <c r="C85" s="7" t="s">
        <v>1567</v>
      </c>
      <c r="D85" s="23">
        <f>93.98+70.78</f>
        <v>164.76</v>
      </c>
    </row>
    <row r="86" spans="1:4" x14ac:dyDescent="0.25">
      <c r="A86" s="5">
        <v>43759</v>
      </c>
      <c r="B86" s="6"/>
      <c r="C86" s="7" t="s">
        <v>1020</v>
      </c>
      <c r="D86" s="23">
        <v>-426.91</v>
      </c>
    </row>
    <row r="87" spans="1:4" x14ac:dyDescent="0.25">
      <c r="A87" s="5"/>
      <c r="B87" s="6"/>
      <c r="C87" s="7"/>
      <c r="D87" s="23"/>
    </row>
    <row r="88" spans="1:4" x14ac:dyDescent="0.25">
      <c r="A88" s="5"/>
      <c r="B88" s="6"/>
      <c r="C88" s="7"/>
      <c r="D88" s="23"/>
    </row>
    <row r="90" spans="1:4" x14ac:dyDescent="0.25">
      <c r="B90" s="44"/>
      <c r="C90" s="45" t="s">
        <v>702</v>
      </c>
      <c r="D90" s="23">
        <v>1932.81</v>
      </c>
    </row>
    <row r="91" spans="1:4" x14ac:dyDescent="0.25">
      <c r="B91" s="94">
        <v>2501</v>
      </c>
      <c r="C91" s="7" t="s">
        <v>1568</v>
      </c>
      <c r="D91" s="23">
        <f>-(71.98+71.98+539.85+90.96)</f>
        <v>-774.7700000000001</v>
      </c>
    </row>
    <row r="92" spans="1:4" x14ac:dyDescent="0.25">
      <c r="B92" s="94">
        <v>1902</v>
      </c>
      <c r="C92" s="7" t="s">
        <v>1569</v>
      </c>
      <c r="D92" s="23">
        <f>-(70.98+91.18+91.18+91.18)</f>
        <v>-344.52000000000004</v>
      </c>
    </row>
    <row r="93" spans="1:4" x14ac:dyDescent="0.25">
      <c r="B93" s="94">
        <v>2702</v>
      </c>
      <c r="C93" s="7" t="s">
        <v>1570</v>
      </c>
      <c r="D93" s="23">
        <v>-383.92</v>
      </c>
    </row>
    <row r="94" spans="1:4" x14ac:dyDescent="0.25">
      <c r="B94" s="94">
        <v>1104</v>
      </c>
      <c r="C94" s="7" t="s">
        <v>1571</v>
      </c>
      <c r="D94" s="23">
        <f>-(71.98+71.98+93.98+71.98+93.98+30)</f>
        <v>-433.90000000000003</v>
      </c>
    </row>
    <row r="95" spans="1:4" x14ac:dyDescent="0.25">
      <c r="B95" s="94">
        <v>1104</v>
      </c>
      <c r="C95" s="7" t="s">
        <v>1513</v>
      </c>
      <c r="D95" s="23">
        <v>4.3</v>
      </c>
    </row>
    <row r="96" spans="1:4" x14ac:dyDescent="0.25">
      <c r="B96" s="44"/>
      <c r="C96" s="10" t="s">
        <v>703</v>
      </c>
      <c r="D96" s="48">
        <f>SUM(D90:D95)</f>
        <v>-6.8389738316909643E-14</v>
      </c>
    </row>
    <row r="97" spans="1:4" x14ac:dyDescent="0.25">
      <c r="B97" s="50"/>
      <c r="D97" s="146"/>
    </row>
    <row r="98" spans="1:4" x14ac:dyDescent="0.25">
      <c r="B98" s="50"/>
      <c r="D98" s="1"/>
    </row>
    <row r="99" spans="1:4" x14ac:dyDescent="0.25">
      <c r="B99" s="44"/>
      <c r="C99" s="45" t="s">
        <v>1572</v>
      </c>
      <c r="D99" s="23">
        <v>762.39999999999986</v>
      </c>
    </row>
    <row r="100" spans="1:4" x14ac:dyDescent="0.25">
      <c r="B100" s="5">
        <v>43514</v>
      </c>
      <c r="C100" s="7" t="s">
        <v>1573</v>
      </c>
      <c r="D100" s="24">
        <v>-17.3</v>
      </c>
    </row>
    <row r="101" spans="1:4" x14ac:dyDescent="0.25">
      <c r="B101" s="5">
        <v>43664</v>
      </c>
      <c r="C101" s="7" t="s">
        <v>790</v>
      </c>
      <c r="D101" s="23">
        <v>-17.559999999999995</v>
      </c>
    </row>
    <row r="102" spans="1:4" x14ac:dyDescent="0.25">
      <c r="B102" s="5">
        <v>43691</v>
      </c>
      <c r="C102" s="7" t="s">
        <v>1574</v>
      </c>
      <c r="D102" s="23">
        <f>-(16.67+30.53)</f>
        <v>-47.2</v>
      </c>
    </row>
    <row r="103" spans="1:4" x14ac:dyDescent="0.25">
      <c r="B103" s="5">
        <v>43720</v>
      </c>
      <c r="C103" s="10" t="s">
        <v>1575</v>
      </c>
      <c r="D103" s="23">
        <f>-(21.06+18.16)</f>
        <v>-39.22</v>
      </c>
    </row>
    <row r="104" spans="1:4" x14ac:dyDescent="0.25">
      <c r="B104" s="5">
        <v>43749</v>
      </c>
      <c r="C104" s="7" t="s">
        <v>1576</v>
      </c>
      <c r="D104" s="23">
        <v>-277.25</v>
      </c>
    </row>
    <row r="105" spans="1:4" x14ac:dyDescent="0.25">
      <c r="B105" s="5"/>
      <c r="C105" s="10"/>
      <c r="D105" s="23"/>
    </row>
    <row r="106" spans="1:4" x14ac:dyDescent="0.25">
      <c r="B106" s="5"/>
      <c r="C106" s="10"/>
      <c r="D106" s="23"/>
    </row>
    <row r="107" spans="1:4" x14ac:dyDescent="0.25">
      <c r="B107" s="5"/>
      <c r="C107" s="10"/>
      <c r="D107" s="23"/>
    </row>
    <row r="108" spans="1:4" x14ac:dyDescent="0.25">
      <c r="B108" s="5"/>
      <c r="C108" s="10"/>
      <c r="D108" s="23"/>
    </row>
    <row r="109" spans="1:4" x14ac:dyDescent="0.25">
      <c r="B109" s="47"/>
      <c r="C109" s="10"/>
      <c r="D109" s="23"/>
    </row>
    <row r="110" spans="1:4" x14ac:dyDescent="0.25">
      <c r="B110" s="44"/>
      <c r="C110" s="10" t="s">
        <v>703</v>
      </c>
      <c r="D110" s="48">
        <f>SUM(D99:D109)</f>
        <v>363.86999999999989</v>
      </c>
    </row>
    <row r="112" spans="1:4" x14ac:dyDescent="0.25">
      <c r="A112" s="232" t="s">
        <v>718</v>
      </c>
      <c r="B112" s="237"/>
      <c r="C112" s="232"/>
      <c r="D112" s="148">
        <f>D83</f>
        <v>500</v>
      </c>
    </row>
    <row r="113" spans="1:4" x14ac:dyDescent="0.25">
      <c r="A113" s="140">
        <v>43733</v>
      </c>
      <c r="B113" s="9" t="s">
        <v>1577</v>
      </c>
      <c r="C113" s="158" t="s">
        <v>1519</v>
      </c>
      <c r="D113" s="23">
        <v>56</v>
      </c>
    </row>
    <row r="114" spans="1:4" x14ac:dyDescent="0.25">
      <c r="A114" s="140">
        <v>43739</v>
      </c>
      <c r="B114" s="9" t="s">
        <v>1578</v>
      </c>
      <c r="C114" s="158" t="s">
        <v>1519</v>
      </c>
      <c r="D114" s="23">
        <v>78.239999999999981</v>
      </c>
    </row>
    <row r="115" spans="1:4" x14ac:dyDescent="0.25">
      <c r="A115" s="10"/>
      <c r="B115" s="150"/>
      <c r="C115" s="10"/>
      <c r="D115" s="23"/>
    </row>
    <row r="116" spans="1:4" x14ac:dyDescent="0.25">
      <c r="A116" s="10"/>
      <c r="B116" s="147"/>
      <c r="C116" s="10"/>
      <c r="D116" s="23"/>
    </row>
    <row r="117" spans="1:4" x14ac:dyDescent="0.25">
      <c r="A117" s="10"/>
      <c r="B117" s="147"/>
      <c r="C117" s="10"/>
      <c r="D117" s="23"/>
    </row>
    <row r="118" spans="1:4" x14ac:dyDescent="0.25">
      <c r="A118" s="10"/>
      <c r="B118" s="147"/>
      <c r="C118" s="10"/>
      <c r="D118" s="23"/>
    </row>
    <row r="119" spans="1:4" x14ac:dyDescent="0.25">
      <c r="A119" s="10"/>
      <c r="B119" s="147"/>
      <c r="C119" s="10"/>
      <c r="D119" s="23"/>
    </row>
    <row r="120" spans="1:4" x14ac:dyDescent="0.25">
      <c r="A120" s="10"/>
      <c r="B120" s="147"/>
      <c r="C120" s="10"/>
      <c r="D120" s="23"/>
    </row>
    <row r="121" spans="1:4" x14ac:dyDescent="0.25">
      <c r="A121" s="10"/>
      <c r="B121" s="147"/>
      <c r="C121" s="10"/>
      <c r="D121" s="23"/>
    </row>
    <row r="122" spans="1:4" x14ac:dyDescent="0.25">
      <c r="A122" s="151"/>
      <c r="B122" s="152"/>
      <c r="C122" s="151"/>
      <c r="D122" s="23"/>
    </row>
    <row r="123" spans="1:4" x14ac:dyDescent="0.25">
      <c r="A123" s="232" t="s">
        <v>703</v>
      </c>
      <c r="B123" s="232"/>
      <c r="C123" s="232"/>
      <c r="D123" s="148">
        <f>D112-SUM(D113:D122)</f>
        <v>365.76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112:C112"/>
    <mergeCell ref="A123:C123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activeCell="I30" sqref="I30"/>
    </sheetView>
  </sheetViews>
  <sheetFormatPr defaultRowHeight="18.75" x14ac:dyDescent="0.3"/>
  <cols>
    <col min="1" max="1" width="29.85546875" style="112" customWidth="1"/>
    <col min="2" max="2" width="14.5703125" style="112" customWidth="1"/>
    <col min="3" max="3" width="19.7109375" style="112" customWidth="1"/>
    <col min="4" max="4" width="18.140625" style="112" customWidth="1"/>
    <col min="5" max="6" width="9.140625" style="112" customWidth="1"/>
    <col min="7" max="7" width="10.7109375" style="112" customWidth="1"/>
    <col min="8" max="8" width="11.28515625" style="112" customWidth="1"/>
    <col min="9" max="9" width="44.85546875" style="112" customWidth="1"/>
    <col min="10" max="10" width="13.28515625" style="112" customWidth="1"/>
    <col min="11" max="11" width="9.140625" style="112" customWidth="1"/>
    <col min="12" max="16384" width="9.140625" style="112"/>
  </cols>
  <sheetData>
    <row r="1" spans="1:11" x14ac:dyDescent="0.3">
      <c r="A1" s="207" t="s">
        <v>580</v>
      </c>
      <c r="B1" s="209"/>
      <c r="C1" s="111">
        <v>133489.06</v>
      </c>
      <c r="G1" s="211" t="s">
        <v>581</v>
      </c>
      <c r="H1" s="212"/>
      <c r="I1" s="14" t="s">
        <v>582</v>
      </c>
      <c r="J1" s="24">
        <f>C4</f>
        <v>38044.382100000003</v>
      </c>
    </row>
    <row r="2" spans="1:11" x14ac:dyDescent="0.3">
      <c r="A2" s="113" t="s">
        <v>12</v>
      </c>
      <c r="B2" s="114">
        <v>0.05</v>
      </c>
      <c r="C2" s="115">
        <f>C1*B2</f>
        <v>6674.4530000000004</v>
      </c>
      <c r="G2" s="213"/>
      <c r="H2" s="214"/>
      <c r="I2" s="14" t="s">
        <v>583</v>
      </c>
      <c r="J2" s="24">
        <f>SUM(J5:J37)</f>
        <v>27461.604999999992</v>
      </c>
    </row>
    <row r="3" spans="1:11" x14ac:dyDescent="0.3">
      <c r="A3" s="207" t="s">
        <v>135</v>
      </c>
      <c r="B3" s="209"/>
      <c r="C3" s="116">
        <f>C1-C2</f>
        <v>126814.607</v>
      </c>
      <c r="G3" s="215"/>
      <c r="H3" s="216"/>
      <c r="I3" s="14" t="s">
        <v>584</v>
      </c>
      <c r="J3" s="24">
        <f>J1-J2</f>
        <v>10582.77710000001</v>
      </c>
    </row>
    <row r="4" spans="1:11" x14ac:dyDescent="0.3">
      <c r="A4" s="113" t="s">
        <v>585</v>
      </c>
      <c r="B4" s="114">
        <v>0.3</v>
      </c>
      <c r="C4" s="115">
        <f>C3*B4</f>
        <v>38044.382100000003</v>
      </c>
      <c r="G4" s="13" t="s">
        <v>586</v>
      </c>
      <c r="H4" s="13" t="s">
        <v>587</v>
      </c>
      <c r="I4" s="12" t="s">
        <v>588</v>
      </c>
      <c r="J4" s="25" t="s">
        <v>5</v>
      </c>
    </row>
    <row r="5" spans="1:11" x14ac:dyDescent="0.3">
      <c r="A5" s="113" t="s">
        <v>589</v>
      </c>
      <c r="B5" s="114">
        <v>0.7</v>
      </c>
      <c r="C5" s="115">
        <f>C3*B5</f>
        <v>88770.224900000001</v>
      </c>
      <c r="G5" s="5">
        <v>43587</v>
      </c>
      <c r="H5" s="6"/>
      <c r="I5" s="7" t="s">
        <v>590</v>
      </c>
      <c r="J5" s="24">
        <f>(2*162.15)*0.7</f>
        <v>227.01</v>
      </c>
    </row>
    <row r="6" spans="1:11" x14ac:dyDescent="0.3">
      <c r="A6" s="195" t="s">
        <v>591</v>
      </c>
      <c r="B6" s="113">
        <v>12</v>
      </c>
      <c r="C6" s="117">
        <f t="shared" ref="C6:C13" si="0">B6/$B$14</f>
        <v>6.1224489795918366E-2</v>
      </c>
      <c r="D6" s="115">
        <f t="shared" ref="D6:D13" si="1">$C$5*C6</f>
        <v>5434.9117285714283</v>
      </c>
      <c r="G6" s="5">
        <v>43587</v>
      </c>
      <c r="H6" s="6" t="s">
        <v>592</v>
      </c>
      <c r="I6" s="7" t="s">
        <v>593</v>
      </c>
      <c r="J6" s="24">
        <f>1159.1+1246.98+909.7</f>
        <v>3315.7799999999997</v>
      </c>
    </row>
    <row r="7" spans="1:11" x14ac:dyDescent="0.3">
      <c r="A7" s="196" t="s">
        <v>594</v>
      </c>
      <c r="B7" s="113">
        <v>12</v>
      </c>
      <c r="C7" s="117">
        <f t="shared" si="0"/>
        <v>6.1224489795918366E-2</v>
      </c>
      <c r="D7" s="115">
        <f t="shared" si="1"/>
        <v>5434.9117285714283</v>
      </c>
      <c r="G7" s="5">
        <v>43588</v>
      </c>
      <c r="H7" s="6" t="s">
        <v>595</v>
      </c>
      <c r="I7" s="7" t="s">
        <v>596</v>
      </c>
      <c r="J7" s="24">
        <f>1115.02+456.14+584.61</f>
        <v>2155.77</v>
      </c>
    </row>
    <row r="8" spans="1:11" x14ac:dyDescent="0.3">
      <c r="A8" s="197" t="s">
        <v>597</v>
      </c>
      <c r="B8" s="113">
        <v>9</v>
      </c>
      <c r="C8" s="117">
        <f t="shared" si="0"/>
        <v>4.5918367346938778E-2</v>
      </c>
      <c r="D8" s="115">
        <f t="shared" si="1"/>
        <v>4076.1837964285719</v>
      </c>
      <c r="G8" s="5">
        <v>43588</v>
      </c>
      <c r="H8" s="6" t="s">
        <v>598</v>
      </c>
      <c r="I8" s="7" t="s">
        <v>599</v>
      </c>
      <c r="J8" s="24">
        <f>1115.02+456.14+584.61</f>
        <v>2155.77</v>
      </c>
    </row>
    <row r="9" spans="1:11" x14ac:dyDescent="0.3">
      <c r="A9" s="198" t="s">
        <v>600</v>
      </c>
      <c r="B9" s="113">
        <v>18</v>
      </c>
      <c r="C9" s="117">
        <f t="shared" si="0"/>
        <v>9.1836734693877556E-2</v>
      </c>
      <c r="D9" s="115">
        <f t="shared" si="1"/>
        <v>8152.3675928571438</v>
      </c>
      <c r="G9" s="130">
        <v>43683</v>
      </c>
      <c r="H9" s="131"/>
      <c r="I9" s="132" t="s">
        <v>601</v>
      </c>
      <c r="J9" s="133">
        <f>169.45*0.7</f>
        <v>118.61499999999998</v>
      </c>
    </row>
    <row r="10" spans="1:11" x14ac:dyDescent="0.3">
      <c r="A10" s="199" t="s">
        <v>602</v>
      </c>
      <c r="B10" s="113">
        <v>41</v>
      </c>
      <c r="C10" s="117">
        <f t="shared" si="0"/>
        <v>0.20918367346938777</v>
      </c>
      <c r="D10" s="115">
        <f t="shared" si="1"/>
        <v>18569.281739285714</v>
      </c>
      <c r="G10" s="126">
        <v>43683</v>
      </c>
      <c r="H10" s="127"/>
      <c r="I10" s="128" t="s">
        <v>603</v>
      </c>
      <c r="J10" s="129">
        <f>169.45*0.7</f>
        <v>118.61499999999998</v>
      </c>
      <c r="K10" s="112" t="s">
        <v>604</v>
      </c>
    </row>
    <row r="11" spans="1:11" x14ac:dyDescent="0.3">
      <c r="A11" s="200" t="s">
        <v>605</v>
      </c>
      <c r="B11" s="113">
        <v>20</v>
      </c>
      <c r="C11" s="117">
        <f t="shared" si="0"/>
        <v>0.10204081632653061</v>
      </c>
      <c r="D11" s="115">
        <f t="shared" si="1"/>
        <v>9058.1862142857153</v>
      </c>
      <c r="G11" s="134">
        <v>43698</v>
      </c>
      <c r="H11" s="135" t="s">
        <v>606</v>
      </c>
      <c r="I11" s="136" t="s">
        <v>607</v>
      </c>
      <c r="J11" s="137">
        <f>808.22+324.72</f>
        <v>1132.94</v>
      </c>
    </row>
    <row r="12" spans="1:11" x14ac:dyDescent="0.3">
      <c r="A12" s="201" t="s">
        <v>608</v>
      </c>
      <c r="B12" s="113">
        <v>46</v>
      </c>
      <c r="C12" s="117">
        <f t="shared" si="0"/>
        <v>0.23469387755102042</v>
      </c>
      <c r="D12" s="115">
        <f t="shared" si="1"/>
        <v>20833.828292857143</v>
      </c>
      <c r="G12" s="130">
        <v>43698</v>
      </c>
      <c r="H12" s="131"/>
      <c r="I12" s="132" t="s">
        <v>609</v>
      </c>
      <c r="J12" s="133">
        <f>100.45*2*0.7</f>
        <v>140.63</v>
      </c>
    </row>
    <row r="13" spans="1:11" x14ac:dyDescent="0.3">
      <c r="A13" s="202" t="s">
        <v>610</v>
      </c>
      <c r="B13" s="113">
        <v>38</v>
      </c>
      <c r="C13" s="117">
        <f t="shared" si="0"/>
        <v>0.19387755102040816</v>
      </c>
      <c r="D13" s="115">
        <f t="shared" si="1"/>
        <v>17210.553807142856</v>
      </c>
      <c r="G13" s="5">
        <v>43699</v>
      </c>
      <c r="H13" s="131" t="s">
        <v>611</v>
      </c>
      <c r="I13" s="132" t="s">
        <v>612</v>
      </c>
      <c r="J13" s="133">
        <v>964.4</v>
      </c>
    </row>
    <row r="14" spans="1:11" x14ac:dyDescent="0.3">
      <c r="B14" s="118">
        <f>SUM(B6:B13)</f>
        <v>196</v>
      </c>
      <c r="C14" s="117">
        <f>SUM(C6:C13)</f>
        <v>1</v>
      </c>
      <c r="G14" s="138">
        <v>43698</v>
      </c>
      <c r="H14" s="6"/>
      <c r="I14" s="7" t="s">
        <v>613</v>
      </c>
      <c r="J14" s="24">
        <f>130.15*2*0.7</f>
        <v>182.21</v>
      </c>
    </row>
    <row r="15" spans="1:11" x14ac:dyDescent="0.3">
      <c r="G15" s="5">
        <v>43699</v>
      </c>
      <c r="H15" s="135" t="s">
        <v>614</v>
      </c>
      <c r="I15" s="136" t="s">
        <v>615</v>
      </c>
      <c r="J15" s="137">
        <v>964.4</v>
      </c>
    </row>
    <row r="16" spans="1:11" x14ac:dyDescent="0.3">
      <c r="G16" s="130">
        <v>43698</v>
      </c>
      <c r="H16" s="131"/>
      <c r="I16" s="132" t="s">
        <v>616</v>
      </c>
      <c r="J16" s="133">
        <f>130.15*2*0.7</f>
        <v>182.21</v>
      </c>
    </row>
    <row r="17" spans="7:10" x14ac:dyDescent="0.3">
      <c r="G17" s="139">
        <v>43698</v>
      </c>
      <c r="H17" s="6"/>
      <c r="I17" s="7" t="s">
        <v>617</v>
      </c>
      <c r="J17" s="122">
        <f>169.45*0.7</f>
        <v>118.61499999999998</v>
      </c>
    </row>
    <row r="18" spans="7:10" x14ac:dyDescent="0.3">
      <c r="G18" s="5">
        <v>43699</v>
      </c>
      <c r="H18" s="135" t="s">
        <v>618</v>
      </c>
      <c r="I18" s="136" t="s">
        <v>619</v>
      </c>
      <c r="J18" s="137">
        <v>1142.9100000000001</v>
      </c>
    </row>
    <row r="19" spans="7:10" x14ac:dyDescent="0.3">
      <c r="G19" s="5">
        <v>43699</v>
      </c>
      <c r="H19" s="6"/>
      <c r="I19" s="7" t="s">
        <v>620</v>
      </c>
      <c r="J19" s="122">
        <f>169.45*0.7</f>
        <v>118.61499999999998</v>
      </c>
    </row>
    <row r="20" spans="7:10" x14ac:dyDescent="0.3">
      <c r="G20" s="5">
        <v>43699</v>
      </c>
      <c r="H20" s="135" t="s">
        <v>621</v>
      </c>
      <c r="I20" s="136" t="s">
        <v>622</v>
      </c>
      <c r="J20" s="137">
        <f>734.64+309.27</f>
        <v>1043.9099999999999</v>
      </c>
    </row>
    <row r="21" spans="7:10" x14ac:dyDescent="0.3">
      <c r="G21" s="5">
        <v>43699</v>
      </c>
      <c r="H21" s="6"/>
      <c r="I21" s="7" t="s">
        <v>623</v>
      </c>
      <c r="J21" s="122">
        <f>169.45*0.7</f>
        <v>118.61499999999998</v>
      </c>
    </row>
    <row r="22" spans="7:10" x14ac:dyDescent="0.3">
      <c r="G22" s="5">
        <v>43699</v>
      </c>
      <c r="H22" s="135" t="s">
        <v>624</v>
      </c>
      <c r="I22" s="136" t="s">
        <v>622</v>
      </c>
      <c r="J22" s="137">
        <f>914.42+1651.86</f>
        <v>2566.2799999999997</v>
      </c>
    </row>
    <row r="23" spans="7:10" x14ac:dyDescent="0.3">
      <c r="G23" s="5">
        <v>43704</v>
      </c>
      <c r="H23" s="135" t="s">
        <v>625</v>
      </c>
      <c r="I23" s="136" t="s">
        <v>626</v>
      </c>
      <c r="J23" s="137">
        <f>967.52+435.61</f>
        <v>1403.13</v>
      </c>
    </row>
    <row r="24" spans="7:10" x14ac:dyDescent="0.3">
      <c r="G24" s="130">
        <v>43704</v>
      </c>
      <c r="H24" s="131"/>
      <c r="I24" s="132" t="s">
        <v>627</v>
      </c>
      <c r="J24" s="133">
        <f>130.15*2*0.7</f>
        <v>182.21</v>
      </c>
    </row>
    <row r="25" spans="7:10" x14ac:dyDescent="0.3">
      <c r="G25" s="140">
        <v>43705</v>
      </c>
      <c r="H25" s="6" t="s">
        <v>628</v>
      </c>
      <c r="I25" s="7" t="s">
        <v>629</v>
      </c>
      <c r="J25" s="24">
        <v>946.7</v>
      </c>
    </row>
    <row r="26" spans="7:10" x14ac:dyDescent="0.3">
      <c r="G26" s="130">
        <v>43705</v>
      </c>
      <c r="H26" s="141"/>
      <c r="I26" s="142" t="s">
        <v>630</v>
      </c>
      <c r="J26" s="144">
        <f>(130.15+100.45)*0.7</f>
        <v>161.42000000000002</v>
      </c>
    </row>
    <row r="27" spans="7:10" x14ac:dyDescent="0.3">
      <c r="G27" s="5">
        <v>43706</v>
      </c>
      <c r="H27" s="6" t="s">
        <v>631</v>
      </c>
      <c r="I27" s="7" t="s">
        <v>632</v>
      </c>
      <c r="J27" s="24">
        <f>914.42+483.24</f>
        <v>1397.6599999999999</v>
      </c>
    </row>
    <row r="28" spans="7:10" x14ac:dyDescent="0.3">
      <c r="G28" s="134">
        <v>43706</v>
      </c>
      <c r="H28" s="135"/>
      <c r="I28" s="143" t="s">
        <v>633</v>
      </c>
      <c r="J28" s="122">
        <f>169.45*2*0.7</f>
        <v>237.22999999999996</v>
      </c>
    </row>
    <row r="29" spans="7:10" x14ac:dyDescent="0.3">
      <c r="G29" s="5">
        <v>43706</v>
      </c>
      <c r="H29" s="6" t="s">
        <v>634</v>
      </c>
      <c r="I29" s="7" t="s">
        <v>635</v>
      </c>
      <c r="J29" s="24">
        <f>914.42+483.24</f>
        <v>1397.6599999999999</v>
      </c>
    </row>
    <row r="30" spans="7:10" x14ac:dyDescent="0.3">
      <c r="G30" s="134">
        <v>43706</v>
      </c>
      <c r="H30" s="135"/>
      <c r="I30" s="143" t="s">
        <v>636</v>
      </c>
      <c r="J30" s="122">
        <f>169.45*2*0.7</f>
        <v>237.22999999999996</v>
      </c>
    </row>
    <row r="31" spans="7:10" x14ac:dyDescent="0.3">
      <c r="G31" s="5">
        <v>43706</v>
      </c>
      <c r="H31" s="6" t="s">
        <v>637</v>
      </c>
      <c r="I31" s="7" t="s">
        <v>638</v>
      </c>
      <c r="J31" s="24">
        <f>914.42+483.24</f>
        <v>1397.6599999999999</v>
      </c>
    </row>
    <row r="32" spans="7:10" x14ac:dyDescent="0.3">
      <c r="G32" s="134">
        <v>43706</v>
      </c>
      <c r="H32" s="135"/>
      <c r="I32" s="143" t="s">
        <v>639</v>
      </c>
      <c r="J32" s="122">
        <f>169.45*2*0.7</f>
        <v>237.22999999999996</v>
      </c>
    </row>
    <row r="33" spans="7:10" x14ac:dyDescent="0.3">
      <c r="G33" s="5">
        <v>43712</v>
      </c>
      <c r="H33" s="6" t="s">
        <v>640</v>
      </c>
      <c r="I33" s="7" t="s">
        <v>641</v>
      </c>
      <c r="J33" s="24">
        <f>563.54+543.36</f>
        <v>1106.9000000000001</v>
      </c>
    </row>
    <row r="34" spans="7:10" x14ac:dyDescent="0.3">
      <c r="G34" s="5">
        <v>43712</v>
      </c>
      <c r="H34" s="135"/>
      <c r="I34" s="143" t="s">
        <v>642</v>
      </c>
      <c r="J34" s="122">
        <f>169.45*2*0.7</f>
        <v>237.22999999999996</v>
      </c>
    </row>
    <row r="35" spans="7:10" x14ac:dyDescent="0.3">
      <c r="G35" s="5">
        <v>43712</v>
      </c>
      <c r="H35" s="6" t="s">
        <v>643</v>
      </c>
      <c r="I35" s="7" t="s">
        <v>644</v>
      </c>
      <c r="J35" s="24">
        <f>808.22+354</f>
        <v>1162.22</v>
      </c>
    </row>
    <row r="36" spans="7:10" x14ac:dyDescent="0.3">
      <c r="G36" s="5">
        <v>43712</v>
      </c>
      <c r="H36" s="135"/>
      <c r="I36" s="143" t="s">
        <v>645</v>
      </c>
      <c r="J36" s="122">
        <f>169.45*2*0.7</f>
        <v>237.22999999999996</v>
      </c>
    </row>
    <row r="37" spans="7:10" x14ac:dyDescent="0.3">
      <c r="G37" s="5">
        <v>43726</v>
      </c>
      <c r="H37" s="6"/>
      <c r="I37" s="7" t="s">
        <v>646</v>
      </c>
      <c r="J37" s="24">
        <v>352.6</v>
      </c>
    </row>
  </sheetData>
  <mergeCells count="3">
    <mergeCell ref="A1:B1"/>
    <mergeCell ref="G1:H3"/>
    <mergeCell ref="A3:B3"/>
  </mergeCells>
  <hyperlinks>
    <hyperlink ref="A6" location="'D. Biologia'!A1" display="Biologia"/>
    <hyperlink ref="A7" location="'D. Bioquímica'!A1" display="Bioquímica e Biologia Molecular"/>
    <hyperlink ref="A8" location="'D. Ecologia'!A1" display="Ecologia e Evolução"/>
    <hyperlink ref="A9" location="'D. Estatística'!A1" display="Estatística"/>
    <hyperlink ref="A10" location="'D. Física'!A1" display="Física"/>
    <hyperlink ref="A11" location="'D. Geociências'!A1" display="Geociências"/>
    <hyperlink ref="A12" location="'D. Matemática'!A1" display="Matemática"/>
    <hyperlink ref="A13" location="'D. Química'!A1" display="Química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N1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680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Geral!D47</f>
        <v>5756.6111000000001</v>
      </c>
      <c r="F6" s="211" t="s">
        <v>687</v>
      </c>
      <c r="G6" s="212"/>
      <c r="H6" s="14" t="s">
        <v>582</v>
      </c>
      <c r="I6" s="24">
        <f>Geral!E47</f>
        <v>0</v>
      </c>
      <c r="K6" s="230" t="s">
        <v>688</v>
      </c>
      <c r="L6" s="230"/>
      <c r="M6" s="4" t="s">
        <v>582</v>
      </c>
      <c r="N6" s="24">
        <f>Geral!F47</f>
        <v>0</v>
      </c>
    </row>
    <row r="7" spans="1:14" ht="15" customHeight="1" x14ac:dyDescent="0.25">
      <c r="A7" s="230"/>
      <c r="B7" s="230"/>
      <c r="C7" s="3" t="s">
        <v>583</v>
      </c>
      <c r="D7" s="24">
        <f>SUM(D10:D31)</f>
        <v>5756.61</v>
      </c>
      <c r="F7" s="213"/>
      <c r="G7" s="214"/>
      <c r="H7" s="14" t="s">
        <v>583</v>
      </c>
      <c r="I7" s="24">
        <f>SUM(I10:I31)</f>
        <v>0</v>
      </c>
      <c r="K7" s="230"/>
      <c r="L7" s="230"/>
      <c r="M7" s="4" t="s">
        <v>583</v>
      </c>
      <c r="N7" s="24">
        <f>SUM(N10:N31)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1.1000000004059984E-3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71"/>
      <c r="C10" s="10" t="s">
        <v>724</v>
      </c>
      <c r="D10" s="23">
        <v>1500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43517</v>
      </c>
      <c r="B11" s="6"/>
      <c r="C11" s="10" t="s">
        <v>725</v>
      </c>
      <c r="D11" s="24">
        <v>1500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43544</v>
      </c>
      <c r="B12" s="6"/>
      <c r="C12" s="10" t="s">
        <v>726</v>
      </c>
      <c r="D12" s="24">
        <v>1500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43578</v>
      </c>
      <c r="B13" s="6"/>
      <c r="C13" s="10" t="s">
        <v>727</v>
      </c>
      <c r="D13" s="24">
        <v>1200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43609</v>
      </c>
      <c r="B14" s="71"/>
      <c r="C14" s="10" t="s">
        <v>729</v>
      </c>
      <c r="D14" s="23">
        <v>1200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43612</v>
      </c>
      <c r="B15" s="71"/>
      <c r="C15" s="10" t="s">
        <v>1579</v>
      </c>
      <c r="D15" s="23">
        <v>-1143.3900000000001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43640</v>
      </c>
      <c r="B16" s="6"/>
      <c r="C16" s="10" t="s">
        <v>706</v>
      </c>
      <c r="D16" s="24">
        <v>1200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43640</v>
      </c>
      <c r="B17" s="6"/>
      <c r="C17" s="10" t="s">
        <v>1579</v>
      </c>
      <c r="D17" s="24">
        <v>-1200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/>
      <c r="B18" s="6"/>
      <c r="C18" s="10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D32" s="1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sqref="A1:O1"/>
    </sheetView>
  </sheetViews>
  <sheetFormatPr defaultRowHeight="15" x14ac:dyDescent="0.25"/>
  <cols>
    <col min="1" max="1" width="36.5703125" customWidth="1"/>
    <col min="2" max="3" width="11.42578125" customWidth="1"/>
    <col min="4" max="4" width="14.28515625" customWidth="1"/>
    <col min="5" max="5" width="13.7109375" customWidth="1"/>
    <col min="6" max="6" width="16.140625" customWidth="1"/>
    <col min="7" max="7" width="13.28515625" customWidth="1"/>
    <col min="8" max="8" width="15.5703125" customWidth="1"/>
    <col min="9" max="9" width="15.7109375" customWidth="1"/>
    <col min="10" max="10" width="12.7109375" customWidth="1"/>
    <col min="11" max="11" width="13.85546875" customWidth="1"/>
    <col min="12" max="12" width="15.140625" customWidth="1"/>
    <col min="15" max="15" width="11.85546875" customWidth="1"/>
  </cols>
  <sheetData>
    <row r="1" spans="1:15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8.75" x14ac:dyDescent="0.25">
      <c r="A4" s="220" t="s">
        <v>650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 x14ac:dyDescent="0.25">
      <c r="O5" s="221" t="s">
        <v>651</v>
      </c>
    </row>
    <row r="6" spans="1:15" x14ac:dyDescent="0.25">
      <c r="A6" s="226" t="s">
        <v>652</v>
      </c>
      <c r="B6" s="228" t="s">
        <v>653</v>
      </c>
      <c r="C6" s="228" t="s">
        <v>654</v>
      </c>
      <c r="D6" s="222" t="s">
        <v>655</v>
      </c>
      <c r="E6" s="223"/>
      <c r="F6" s="224"/>
      <c r="G6" s="222" t="s">
        <v>656</v>
      </c>
      <c r="H6" s="223"/>
      <c r="I6" s="224"/>
      <c r="J6" s="225" t="s">
        <v>657</v>
      </c>
      <c r="K6" s="223"/>
      <c r="L6" s="224"/>
      <c r="O6" s="221"/>
    </row>
    <row r="7" spans="1:15" ht="45" x14ac:dyDescent="0.25">
      <c r="A7" s="227"/>
      <c r="B7" s="229"/>
      <c r="C7" s="229"/>
      <c r="D7" s="26" t="s">
        <v>658</v>
      </c>
      <c r="E7" s="22" t="s">
        <v>659</v>
      </c>
      <c r="F7" s="27" t="s">
        <v>660</v>
      </c>
      <c r="G7" s="26" t="s">
        <v>658</v>
      </c>
      <c r="H7" s="22" t="s">
        <v>659</v>
      </c>
      <c r="I7" s="27" t="s">
        <v>660</v>
      </c>
      <c r="J7" s="36" t="s">
        <v>658</v>
      </c>
      <c r="K7" s="22" t="s">
        <v>659</v>
      </c>
      <c r="L7" s="27" t="s">
        <v>660</v>
      </c>
      <c r="O7" s="221"/>
    </row>
    <row r="8" spans="1:15" ht="15.75" x14ac:dyDescent="0.25">
      <c r="A8" s="28" t="s">
        <v>661</v>
      </c>
      <c r="B8" s="37"/>
      <c r="C8" s="37"/>
      <c r="D8" s="52">
        <f t="shared" ref="D8:L8" si="0">SUM(D9:D17)</f>
        <v>77714.249849999993</v>
      </c>
      <c r="E8" s="53">
        <f t="shared" si="0"/>
        <v>0</v>
      </c>
      <c r="F8" s="54">
        <f t="shared" si="0"/>
        <v>1958</v>
      </c>
      <c r="G8" s="52">
        <f t="shared" si="0"/>
        <v>77714.28</v>
      </c>
      <c r="H8" s="53">
        <f t="shared" si="0"/>
        <v>-4.9999999999954525E-3</v>
      </c>
      <c r="I8" s="54">
        <f t="shared" si="0"/>
        <v>1958</v>
      </c>
      <c r="J8" s="63">
        <f t="shared" si="0"/>
        <v>-3.0150000005960464E-2</v>
      </c>
      <c r="K8" s="53">
        <f t="shared" si="0"/>
        <v>4.9999999999954525E-3</v>
      </c>
      <c r="L8" s="54">
        <f t="shared" si="0"/>
        <v>0</v>
      </c>
    </row>
    <row r="9" spans="1:15" x14ac:dyDescent="0.25">
      <c r="A9" s="160" t="s">
        <v>591</v>
      </c>
      <c r="B9" s="38">
        <v>1.4999999999999999E-2</v>
      </c>
      <c r="C9" s="38">
        <v>0</v>
      </c>
      <c r="D9" s="55">
        <f t="shared" ref="D9:D17" si="1">$D$49*B9</f>
        <v>8634.9166499999992</v>
      </c>
      <c r="E9" s="56">
        <f t="shared" ref="E9:E17" si="2">$E$49*C9</f>
        <v>0</v>
      </c>
      <c r="F9" s="57">
        <v>0</v>
      </c>
      <c r="G9" s="55">
        <f>'C. Biologia'!D7</f>
        <v>8634.92</v>
      </c>
      <c r="H9" s="56">
        <f>'C. Biologia'!I7</f>
        <v>0</v>
      </c>
      <c r="I9" s="57">
        <f>'C. Biologia'!N7</f>
        <v>0</v>
      </c>
      <c r="J9" s="83">
        <f t="shared" ref="J9:J17" si="3">D9-G9</f>
        <v>-3.3500000008643838E-3</v>
      </c>
      <c r="K9" s="84">
        <f t="shared" ref="K9:K17" si="4">E9-H9</f>
        <v>0</v>
      </c>
      <c r="L9" s="85">
        <f t="shared" ref="L9:L17" si="5">F9-I9</f>
        <v>0</v>
      </c>
    </row>
    <row r="10" spans="1:15" x14ac:dyDescent="0.25">
      <c r="A10" s="161" t="s">
        <v>662</v>
      </c>
      <c r="B10" s="38">
        <v>1.4999999999999999E-2</v>
      </c>
      <c r="C10" s="38">
        <v>0</v>
      </c>
      <c r="D10" s="55">
        <f t="shared" si="1"/>
        <v>8634.9166499999992</v>
      </c>
      <c r="E10" s="56">
        <f t="shared" si="2"/>
        <v>0</v>
      </c>
      <c r="F10" s="57">
        <v>0</v>
      </c>
      <c r="G10" s="55">
        <f>'C. Estatística'!D7</f>
        <v>8634.92</v>
      </c>
      <c r="H10" s="56">
        <f>'C. Estatística'!I7</f>
        <v>0</v>
      </c>
      <c r="I10" s="57">
        <f>'C. Estatística'!N7</f>
        <v>0</v>
      </c>
      <c r="J10" s="83">
        <f t="shared" si="3"/>
        <v>-3.3500000008643838E-3</v>
      </c>
      <c r="K10" s="84">
        <f t="shared" si="4"/>
        <v>0</v>
      </c>
      <c r="L10" s="85">
        <f t="shared" si="5"/>
        <v>0</v>
      </c>
    </row>
    <row r="11" spans="1:15" x14ac:dyDescent="0.25">
      <c r="A11" s="162" t="s">
        <v>602</v>
      </c>
      <c r="B11" s="38">
        <v>1.4999999999999999E-2</v>
      </c>
      <c r="C11" s="38">
        <v>0</v>
      </c>
      <c r="D11" s="55">
        <f t="shared" si="1"/>
        <v>8634.9166499999992</v>
      </c>
      <c r="E11" s="56">
        <f t="shared" si="2"/>
        <v>0</v>
      </c>
      <c r="F11" s="57">
        <v>0</v>
      </c>
      <c r="G11" s="55">
        <f>'C. Física'!D7</f>
        <v>8634.9199999999983</v>
      </c>
      <c r="H11" s="56">
        <f>'C. Física'!I7</f>
        <v>0</v>
      </c>
      <c r="I11" s="57">
        <f>'C. Física'!N7</f>
        <v>0</v>
      </c>
      <c r="J11" s="83">
        <f t="shared" si="3"/>
        <v>-3.3499999990453944E-3</v>
      </c>
      <c r="K11" s="84">
        <f t="shared" si="4"/>
        <v>0</v>
      </c>
      <c r="L11" s="85">
        <f t="shared" si="5"/>
        <v>0</v>
      </c>
    </row>
    <row r="12" spans="1:15" x14ac:dyDescent="0.25">
      <c r="A12" s="163" t="s">
        <v>663</v>
      </c>
      <c r="B12" s="38">
        <v>1.4999999999999999E-2</v>
      </c>
      <c r="C12" s="38">
        <v>0</v>
      </c>
      <c r="D12" s="55">
        <f t="shared" si="1"/>
        <v>8634.9166499999992</v>
      </c>
      <c r="E12" s="56">
        <f t="shared" si="2"/>
        <v>0</v>
      </c>
      <c r="F12" s="57">
        <v>0</v>
      </c>
      <c r="G12" s="55">
        <f>'C. Geografia'!D7</f>
        <v>8634.92</v>
      </c>
      <c r="H12" s="56">
        <f>'C. Geografia'!I7</f>
        <v>0</v>
      </c>
      <c r="I12" s="57">
        <f>'C. Geografia'!N7</f>
        <v>0</v>
      </c>
      <c r="J12" s="83">
        <f t="shared" si="3"/>
        <v>-3.3500000008643838E-3</v>
      </c>
      <c r="K12" s="84">
        <f t="shared" si="4"/>
        <v>0</v>
      </c>
      <c r="L12" s="85">
        <f t="shared" si="5"/>
        <v>0</v>
      </c>
    </row>
    <row r="13" spans="1:15" x14ac:dyDescent="0.25">
      <c r="A13" s="164" t="s">
        <v>608</v>
      </c>
      <c r="B13" s="38">
        <v>1.4999999999999999E-2</v>
      </c>
      <c r="C13" s="38">
        <v>0</v>
      </c>
      <c r="D13" s="55">
        <f t="shared" si="1"/>
        <v>8634.9166499999992</v>
      </c>
      <c r="E13" s="56">
        <f t="shared" si="2"/>
        <v>0</v>
      </c>
      <c r="F13" s="57">
        <v>0</v>
      </c>
      <c r="G13" s="55">
        <f>'C. Matemática'!D7</f>
        <v>8634.92</v>
      </c>
      <c r="H13" s="56">
        <f>'C. Matemática'!I7</f>
        <v>-4.9999999999954525E-3</v>
      </c>
      <c r="I13" s="57">
        <f>'C. Matemática'!N7</f>
        <v>0</v>
      </c>
      <c r="J13" s="83">
        <f t="shared" si="3"/>
        <v>-3.3500000008643838E-3</v>
      </c>
      <c r="K13" s="84">
        <f t="shared" si="4"/>
        <v>4.9999999999954525E-3</v>
      </c>
      <c r="L13" s="85">
        <f t="shared" si="5"/>
        <v>0</v>
      </c>
    </row>
    <row r="14" spans="1:15" x14ac:dyDescent="0.25">
      <c r="A14" s="165" t="s">
        <v>664</v>
      </c>
      <c r="B14" s="38">
        <v>1.4999999999999999E-2</v>
      </c>
      <c r="C14" s="38">
        <v>0</v>
      </c>
      <c r="D14" s="55">
        <f t="shared" si="1"/>
        <v>8634.9166499999992</v>
      </c>
      <c r="E14" s="56">
        <f t="shared" si="2"/>
        <v>0</v>
      </c>
      <c r="F14" s="57">
        <v>0</v>
      </c>
      <c r="G14" s="55">
        <f>'C. Meteorologia'!D7</f>
        <v>8634.92</v>
      </c>
      <c r="H14" s="56">
        <f>'C. Meteorologia'!I7</f>
        <v>0</v>
      </c>
      <c r="I14" s="57">
        <f>'C. Meteorologia'!N7</f>
        <v>0</v>
      </c>
      <c r="J14" s="83">
        <f t="shared" si="3"/>
        <v>-3.3500000008643838E-3</v>
      </c>
      <c r="K14" s="84">
        <f t="shared" si="4"/>
        <v>0</v>
      </c>
      <c r="L14" s="85">
        <f t="shared" si="5"/>
        <v>0</v>
      </c>
    </row>
    <row r="15" spans="1:15" x14ac:dyDescent="0.25">
      <c r="A15" s="166" t="s">
        <v>610</v>
      </c>
      <c r="B15" s="38">
        <v>1.4999999999999999E-2</v>
      </c>
      <c r="C15" s="38">
        <v>0</v>
      </c>
      <c r="D15" s="55">
        <f t="shared" si="1"/>
        <v>8634.9166499999992</v>
      </c>
      <c r="E15" s="56">
        <f t="shared" si="2"/>
        <v>0</v>
      </c>
      <c r="F15" s="57">
        <v>0</v>
      </c>
      <c r="G15" s="55">
        <f>'C. Química'!D7</f>
        <v>8634.92</v>
      </c>
      <c r="H15" s="56">
        <f>'C. Química'!I7</f>
        <v>0</v>
      </c>
      <c r="I15" s="57">
        <f>'C. Química'!N7</f>
        <v>0</v>
      </c>
      <c r="J15" s="83">
        <f t="shared" si="3"/>
        <v>-3.3500000008643838E-3</v>
      </c>
      <c r="K15" s="84">
        <f t="shared" si="4"/>
        <v>0</v>
      </c>
      <c r="L15" s="85">
        <f t="shared" si="5"/>
        <v>0</v>
      </c>
    </row>
    <row r="16" spans="1:15" x14ac:dyDescent="0.25">
      <c r="A16" s="167" t="s">
        <v>665</v>
      </c>
      <c r="B16" s="38">
        <v>1.4999999999999999E-2</v>
      </c>
      <c r="C16" s="38">
        <v>0</v>
      </c>
      <c r="D16" s="55">
        <f t="shared" si="1"/>
        <v>8634.9166499999992</v>
      </c>
      <c r="E16" s="56">
        <f t="shared" si="2"/>
        <v>0</v>
      </c>
      <c r="F16" s="57">
        <v>0</v>
      </c>
      <c r="G16" s="55">
        <f>'C. Química Industrial'!D7</f>
        <v>8634.92</v>
      </c>
      <c r="H16" s="56">
        <f>'C. Química Industrial'!I7</f>
        <v>0</v>
      </c>
      <c r="I16" s="57">
        <f>'C. Química Industrial'!N7</f>
        <v>0</v>
      </c>
      <c r="J16" s="83">
        <f t="shared" si="3"/>
        <v>-3.3500000008643838E-3</v>
      </c>
      <c r="K16" s="84">
        <f t="shared" si="4"/>
        <v>0</v>
      </c>
      <c r="L16" s="85">
        <f t="shared" si="5"/>
        <v>0</v>
      </c>
    </row>
    <row r="17" spans="1:12" x14ac:dyDescent="0.25">
      <c r="A17" s="168" t="s">
        <v>666</v>
      </c>
      <c r="B17" s="38">
        <v>1.4999999999999999E-2</v>
      </c>
      <c r="C17" s="38">
        <v>0</v>
      </c>
      <c r="D17" s="55">
        <f t="shared" si="1"/>
        <v>8634.9166499999992</v>
      </c>
      <c r="E17" s="56">
        <f t="shared" si="2"/>
        <v>0</v>
      </c>
      <c r="F17" s="57">
        <v>1958</v>
      </c>
      <c r="G17" s="55">
        <f>'C. Tec. Processos Q.'!D7</f>
        <v>8634.92</v>
      </c>
      <c r="H17" s="56">
        <f>'C. Tec. Processos Q.'!I7</f>
        <v>0</v>
      </c>
      <c r="I17" s="57">
        <f>'C. Tec. Processos Q.'!N7</f>
        <v>1958</v>
      </c>
      <c r="J17" s="83">
        <f t="shared" si="3"/>
        <v>-3.3500000008643838E-3</v>
      </c>
      <c r="K17" s="84">
        <f t="shared" si="4"/>
        <v>0</v>
      </c>
      <c r="L17" s="85">
        <f t="shared" si="5"/>
        <v>0</v>
      </c>
    </row>
    <row r="18" spans="1:12" ht="15.75" x14ac:dyDescent="0.25">
      <c r="A18" s="29" t="s">
        <v>667</v>
      </c>
      <c r="B18" s="39"/>
      <c r="C18" s="39"/>
      <c r="D18" s="52">
        <f t="shared" ref="D18:L18" si="6">SUM(D19:D30)</f>
        <v>60444.416550000009</v>
      </c>
      <c r="E18" s="53">
        <f t="shared" si="6"/>
        <v>0</v>
      </c>
      <c r="F18" s="54">
        <f t="shared" si="6"/>
        <v>0</v>
      </c>
      <c r="G18" s="52">
        <f t="shared" si="6"/>
        <v>60444.41</v>
      </c>
      <c r="H18" s="53">
        <f t="shared" si="6"/>
        <v>0</v>
      </c>
      <c r="I18" s="54">
        <f t="shared" si="6"/>
        <v>0</v>
      </c>
      <c r="J18" s="86">
        <f t="shared" si="6"/>
        <v>6.5499999991516233E-3</v>
      </c>
      <c r="K18" s="87">
        <f t="shared" si="6"/>
        <v>0</v>
      </c>
      <c r="L18" s="88">
        <f t="shared" si="6"/>
        <v>0</v>
      </c>
    </row>
    <row r="19" spans="1:12" x14ac:dyDescent="0.25">
      <c r="A19" s="169" t="s">
        <v>668</v>
      </c>
      <c r="B19" s="38">
        <v>0.01</v>
      </c>
      <c r="C19" s="38">
        <v>0</v>
      </c>
      <c r="D19" s="55">
        <f t="shared" ref="D19:D30" si="7">$D$49*B19</f>
        <v>5756.6111000000001</v>
      </c>
      <c r="E19" s="56">
        <f t="shared" ref="E19:E30" si="8">$E$49*C19</f>
        <v>0</v>
      </c>
      <c r="F19" s="57">
        <v>0</v>
      </c>
      <c r="G19" s="55">
        <f>'PPG Agrobiologia'!D7</f>
        <v>5756.61</v>
      </c>
      <c r="H19" s="56">
        <f>'PPG Agrobiologia'!I7</f>
        <v>0</v>
      </c>
      <c r="I19" s="57">
        <f>'PPG Agrobiologia'!N7</f>
        <v>0</v>
      </c>
      <c r="J19" s="83">
        <f t="shared" ref="J19:J30" si="9">D19-G19</f>
        <v>1.1000000004059984E-3</v>
      </c>
      <c r="K19" s="84">
        <f t="shared" ref="K19:K30" si="10">E19-H19</f>
        <v>0</v>
      </c>
      <c r="L19" s="85">
        <f t="shared" ref="L19:L30" si="11">F19-I19</f>
        <v>0</v>
      </c>
    </row>
    <row r="20" spans="1:12" x14ac:dyDescent="0.25">
      <c r="A20" s="170" t="s">
        <v>669</v>
      </c>
      <c r="B20" s="38">
        <v>0.01</v>
      </c>
      <c r="C20" s="38">
        <v>0</v>
      </c>
      <c r="D20" s="55">
        <f t="shared" si="7"/>
        <v>5756.6111000000001</v>
      </c>
      <c r="E20" s="56">
        <f t="shared" si="8"/>
        <v>0</v>
      </c>
      <c r="F20" s="57">
        <v>0</v>
      </c>
      <c r="G20" s="55">
        <f>'PPG Bioquímica'!D7</f>
        <v>5756.61</v>
      </c>
      <c r="H20" s="56">
        <f>'PPG Bioquímica'!I7</f>
        <v>0</v>
      </c>
      <c r="I20" s="57">
        <f>'PPG Bioquímica'!N7</f>
        <v>0</v>
      </c>
      <c r="J20" s="83">
        <f t="shared" si="9"/>
        <v>1.1000000004059984E-3</v>
      </c>
      <c r="K20" s="84">
        <f t="shared" si="10"/>
        <v>0</v>
      </c>
      <c r="L20" s="85">
        <f t="shared" si="11"/>
        <v>0</v>
      </c>
    </row>
    <row r="21" spans="1:12" x14ac:dyDescent="0.25">
      <c r="A21" s="171" t="s">
        <v>670</v>
      </c>
      <c r="B21" s="38">
        <v>0.01</v>
      </c>
      <c r="C21" s="38">
        <v>0</v>
      </c>
      <c r="D21" s="55">
        <f t="shared" si="7"/>
        <v>5756.6111000000001</v>
      </c>
      <c r="E21" s="56">
        <f t="shared" si="8"/>
        <v>0</v>
      </c>
      <c r="F21" s="57">
        <v>0</v>
      </c>
      <c r="G21" s="55">
        <f>'PPG Biodiversidade'!D7</f>
        <v>5756.61</v>
      </c>
      <c r="H21" s="56">
        <f>'PPG Biodiversidade'!I7</f>
        <v>0</v>
      </c>
      <c r="I21" s="57">
        <f>'PPG Biodiversidade'!N7</f>
        <v>0</v>
      </c>
      <c r="J21" s="83">
        <f t="shared" si="9"/>
        <v>1.1000000004059984E-3</v>
      </c>
      <c r="K21" s="84">
        <f t="shared" si="10"/>
        <v>0</v>
      </c>
      <c r="L21" s="85">
        <f t="shared" si="11"/>
        <v>0</v>
      </c>
    </row>
    <row r="22" spans="1:12" x14ac:dyDescent="0.25">
      <c r="A22" s="172" t="s">
        <v>671</v>
      </c>
      <c r="B22" s="38">
        <v>0.01</v>
      </c>
      <c r="C22" s="38">
        <v>0</v>
      </c>
      <c r="D22" s="55">
        <f t="shared" si="7"/>
        <v>5756.6111000000001</v>
      </c>
      <c r="E22" s="56">
        <f t="shared" si="8"/>
        <v>0</v>
      </c>
      <c r="F22" s="57">
        <v>0</v>
      </c>
      <c r="G22" s="55">
        <f>'PPG Educação Mat.'!D7</f>
        <v>5756.61</v>
      </c>
      <c r="H22" s="56">
        <f>'PPG Educação Mat.'!I7</f>
        <v>0</v>
      </c>
      <c r="I22" s="57">
        <f>'PPG Educação Mat.'!N7</f>
        <v>0</v>
      </c>
      <c r="J22" s="83">
        <f t="shared" si="9"/>
        <v>1.1000000004059984E-3</v>
      </c>
      <c r="K22" s="84">
        <f t="shared" si="10"/>
        <v>0</v>
      </c>
      <c r="L22" s="85">
        <f t="shared" si="11"/>
        <v>0</v>
      </c>
    </row>
    <row r="23" spans="1:12" x14ac:dyDescent="0.25">
      <c r="A23" s="173" t="s">
        <v>672</v>
      </c>
      <c r="B23" s="38">
        <v>0.01</v>
      </c>
      <c r="C23" s="38">
        <v>0</v>
      </c>
      <c r="D23" s="55">
        <f t="shared" si="7"/>
        <v>5756.6111000000001</v>
      </c>
      <c r="E23" s="56">
        <f t="shared" si="8"/>
        <v>0</v>
      </c>
      <c r="F23" s="57">
        <v>0</v>
      </c>
      <c r="G23" s="55">
        <f>'PPG Física'!D7</f>
        <v>5756.61</v>
      </c>
      <c r="H23" s="56">
        <f>'PPG Física'!I7</f>
        <v>0</v>
      </c>
      <c r="I23" s="57">
        <f>'PPG Física'!N7</f>
        <v>0</v>
      </c>
      <c r="J23" s="83">
        <f t="shared" si="9"/>
        <v>1.1000000004059984E-3</v>
      </c>
      <c r="K23" s="84">
        <f t="shared" si="10"/>
        <v>0</v>
      </c>
      <c r="L23" s="85">
        <f t="shared" si="11"/>
        <v>0</v>
      </c>
    </row>
    <row r="24" spans="1:12" x14ac:dyDescent="0.25">
      <c r="A24" s="174" t="s">
        <v>663</v>
      </c>
      <c r="B24" s="38">
        <v>0.01</v>
      </c>
      <c r="C24" s="38">
        <v>0</v>
      </c>
      <c r="D24" s="55">
        <f t="shared" si="7"/>
        <v>5756.6111000000001</v>
      </c>
      <c r="E24" s="56">
        <f t="shared" si="8"/>
        <v>0</v>
      </c>
      <c r="F24" s="57">
        <v>0</v>
      </c>
      <c r="G24" s="55">
        <f>'PPG Geografia'!D7</f>
        <v>5756.6100000000006</v>
      </c>
      <c r="H24" s="56">
        <f>'PPG Geografia'!I7</f>
        <v>0</v>
      </c>
      <c r="I24" s="57">
        <f>'PPG Geografia'!N7</f>
        <v>0</v>
      </c>
      <c r="J24" s="83">
        <f t="shared" si="9"/>
        <v>1.0999999994965037E-3</v>
      </c>
      <c r="K24" s="84">
        <f t="shared" si="10"/>
        <v>0</v>
      </c>
      <c r="L24" s="85">
        <f t="shared" si="11"/>
        <v>0</v>
      </c>
    </row>
    <row r="25" spans="1:12" x14ac:dyDescent="0.25">
      <c r="A25" s="175" t="s">
        <v>673</v>
      </c>
      <c r="B25" s="38">
        <v>0.01</v>
      </c>
      <c r="C25" s="38">
        <v>0</v>
      </c>
      <c r="D25" s="55">
        <f t="shared" si="7"/>
        <v>5756.6111000000001</v>
      </c>
      <c r="E25" s="56">
        <f t="shared" si="8"/>
        <v>0</v>
      </c>
      <c r="F25" s="57">
        <v>0</v>
      </c>
      <c r="G25" s="55">
        <f>'PPG Matemática'!D7</f>
        <v>5756.6100000000006</v>
      </c>
      <c r="H25" s="56">
        <f>'PPG Matemática'!I7</f>
        <v>0</v>
      </c>
      <c r="I25" s="57">
        <f>'PPG Matemática'!N7</f>
        <v>0</v>
      </c>
      <c r="J25" s="83">
        <f t="shared" si="9"/>
        <v>1.0999999994965037E-3</v>
      </c>
      <c r="K25" s="84">
        <f t="shared" si="10"/>
        <v>0</v>
      </c>
      <c r="L25" s="85">
        <f t="shared" si="11"/>
        <v>0</v>
      </c>
    </row>
    <row r="26" spans="1:12" x14ac:dyDescent="0.25">
      <c r="A26" s="176" t="s">
        <v>664</v>
      </c>
      <c r="B26" s="38">
        <v>0.01</v>
      </c>
      <c r="C26" s="38">
        <v>0</v>
      </c>
      <c r="D26" s="55">
        <f t="shared" si="7"/>
        <v>5756.6111000000001</v>
      </c>
      <c r="E26" s="56">
        <f t="shared" si="8"/>
        <v>0</v>
      </c>
      <c r="F26" s="57">
        <v>0</v>
      </c>
      <c r="G26" s="55">
        <f>'PPG Meteorologia'!D7</f>
        <v>5756.6100000000006</v>
      </c>
      <c r="H26" s="56">
        <f>'PPG Meteorologia'!I7</f>
        <v>0</v>
      </c>
      <c r="I26" s="57">
        <f>'PPG Meteorologia'!N7</f>
        <v>0</v>
      </c>
      <c r="J26" s="83">
        <f t="shared" si="9"/>
        <v>1.0999999994965037E-3</v>
      </c>
      <c r="K26" s="84">
        <f t="shared" si="10"/>
        <v>0</v>
      </c>
      <c r="L26" s="85">
        <f t="shared" si="11"/>
        <v>0</v>
      </c>
    </row>
    <row r="27" spans="1:12" x14ac:dyDescent="0.25">
      <c r="A27" s="177" t="s">
        <v>610</v>
      </c>
      <c r="B27" s="38">
        <v>0</v>
      </c>
      <c r="C27" s="38">
        <v>0</v>
      </c>
      <c r="D27" s="55">
        <f t="shared" si="7"/>
        <v>0</v>
      </c>
      <c r="E27" s="56">
        <f t="shared" si="8"/>
        <v>0</v>
      </c>
      <c r="F27" s="57">
        <v>0</v>
      </c>
      <c r="G27" s="55">
        <f>'PPG Química'!D7</f>
        <v>0</v>
      </c>
      <c r="H27" s="56">
        <f>'PPG Química'!I7</f>
        <v>0</v>
      </c>
      <c r="I27" s="57">
        <f>'PPG Química'!N7</f>
        <v>0</v>
      </c>
      <c r="J27" s="83">
        <f t="shared" si="9"/>
        <v>0</v>
      </c>
      <c r="K27" s="84">
        <f t="shared" si="10"/>
        <v>0</v>
      </c>
      <c r="L27" s="85">
        <f t="shared" si="11"/>
        <v>0</v>
      </c>
    </row>
    <row r="28" spans="1:12" x14ac:dyDescent="0.25">
      <c r="A28" s="178" t="s">
        <v>674</v>
      </c>
      <c r="B28" s="38">
        <v>0.01</v>
      </c>
      <c r="C28" s="38">
        <v>0</v>
      </c>
      <c r="D28" s="55">
        <f t="shared" si="7"/>
        <v>5756.6111000000001</v>
      </c>
      <c r="E28" s="56">
        <f t="shared" si="8"/>
        <v>0</v>
      </c>
      <c r="F28" s="57">
        <v>0</v>
      </c>
      <c r="G28" s="55">
        <f>'PPG Química da Vida '!D7</f>
        <v>5756.6100000000006</v>
      </c>
      <c r="H28" s="56">
        <f>'PPG Química da Vida '!I7</f>
        <v>0</v>
      </c>
      <c r="I28" s="57">
        <f>'PPG Química da Vida '!N7</f>
        <v>0</v>
      </c>
      <c r="J28" s="83">
        <f t="shared" si="9"/>
        <v>1.0999999994965037E-3</v>
      </c>
      <c r="K28" s="84">
        <f t="shared" si="10"/>
        <v>0</v>
      </c>
      <c r="L28" s="85">
        <f t="shared" si="11"/>
        <v>0</v>
      </c>
    </row>
    <row r="29" spans="1:12" x14ac:dyDescent="0.25">
      <c r="A29" s="179" t="s">
        <v>600</v>
      </c>
      <c r="B29" s="38">
        <v>5.0000000000000001E-3</v>
      </c>
      <c r="C29" s="38">
        <v>0</v>
      </c>
      <c r="D29" s="55">
        <f t="shared" si="7"/>
        <v>2878.30555</v>
      </c>
      <c r="E29" s="56">
        <f t="shared" si="8"/>
        <v>0</v>
      </c>
      <c r="F29" s="57">
        <v>0</v>
      </c>
      <c r="G29" s="55">
        <f>'PPG Estatística'!D7</f>
        <v>2878.3100000000004</v>
      </c>
      <c r="H29" s="56">
        <f>'PPG Estatística'!I7</f>
        <v>0</v>
      </c>
      <c r="I29" s="57">
        <f>'PPG Estatística'!N7</f>
        <v>0</v>
      </c>
      <c r="J29" s="83">
        <f t="shared" si="9"/>
        <v>-4.4500000003608875E-3</v>
      </c>
      <c r="K29" s="84">
        <f t="shared" si="10"/>
        <v>0</v>
      </c>
      <c r="L29" s="85">
        <f t="shared" si="11"/>
        <v>0</v>
      </c>
    </row>
    <row r="30" spans="1:12" x14ac:dyDescent="0.25">
      <c r="A30" s="180" t="s">
        <v>675</v>
      </c>
      <c r="B30" s="38">
        <v>0.01</v>
      </c>
      <c r="C30" s="38">
        <v>0</v>
      </c>
      <c r="D30" s="55">
        <f t="shared" si="7"/>
        <v>5756.6111000000001</v>
      </c>
      <c r="E30" s="56">
        <f t="shared" si="8"/>
        <v>0</v>
      </c>
      <c r="F30" s="57">
        <v>0</v>
      </c>
      <c r="G30" s="55">
        <f>PROFMAT!D7</f>
        <v>5756.6100000000006</v>
      </c>
      <c r="H30" s="56">
        <f>PROFMAT!I7</f>
        <v>0</v>
      </c>
      <c r="I30" s="57">
        <f>PROFMAT!N7</f>
        <v>0</v>
      </c>
      <c r="J30" s="83">
        <f t="shared" si="9"/>
        <v>1.0999999994965037E-3</v>
      </c>
      <c r="K30" s="84">
        <f t="shared" si="10"/>
        <v>0</v>
      </c>
      <c r="L30" s="85">
        <f t="shared" si="11"/>
        <v>0</v>
      </c>
    </row>
    <row r="31" spans="1:12" ht="15.75" x14ac:dyDescent="0.25">
      <c r="A31" s="29" t="s">
        <v>589</v>
      </c>
      <c r="B31" s="39"/>
      <c r="C31" s="39"/>
      <c r="D31" s="52">
        <f t="shared" ref="D31:L31" si="12">SUM(D32:D39)</f>
        <v>199754.40516999998</v>
      </c>
      <c r="E31" s="53">
        <f t="shared" si="12"/>
        <v>88770.224900000001</v>
      </c>
      <c r="F31" s="54">
        <f t="shared" si="12"/>
        <v>101269.98000000001</v>
      </c>
      <c r="G31" s="52">
        <f t="shared" si="12"/>
        <v>199754.40999999997</v>
      </c>
      <c r="H31" s="53">
        <f t="shared" si="12"/>
        <v>65663.66</v>
      </c>
      <c r="I31" s="54">
        <f t="shared" si="12"/>
        <v>101269.98000000001</v>
      </c>
      <c r="J31" s="86">
        <f t="shared" si="12"/>
        <v>-4.8300000125891529E-3</v>
      </c>
      <c r="K31" s="87">
        <f t="shared" si="12"/>
        <v>23106.564900000008</v>
      </c>
      <c r="L31" s="88">
        <f t="shared" si="12"/>
        <v>0</v>
      </c>
    </row>
    <row r="32" spans="1:12" x14ac:dyDescent="0.25">
      <c r="A32" s="181" t="s">
        <v>591</v>
      </c>
      <c r="B32" s="38">
        <v>5.0600000000000006E-2</v>
      </c>
      <c r="C32" s="38">
        <f>Diárias!C6</f>
        <v>6.1224489795918366E-2</v>
      </c>
      <c r="D32" s="55">
        <f t="shared" ref="D32:D39" si="13">$D$49*B32</f>
        <v>29128.452166000003</v>
      </c>
      <c r="E32" s="56">
        <f t="shared" ref="E32:E39" si="14">($E$49-$E$43)*0.7*C32</f>
        <v>5434.9117285714283</v>
      </c>
      <c r="F32" s="57">
        <v>0</v>
      </c>
      <c r="G32" s="55">
        <f>'D. Biologia'!D7</f>
        <v>29128.450000000008</v>
      </c>
      <c r="H32" s="64">
        <f>'D. Biologia'!I7</f>
        <v>901.45</v>
      </c>
      <c r="I32" s="67">
        <f>'D. Biologia'!N7</f>
        <v>0</v>
      </c>
      <c r="J32" s="83">
        <f t="shared" ref="J32:L39" si="15">D32-G32</f>
        <v>2.1659999947587494E-3</v>
      </c>
      <c r="K32" s="84">
        <f t="shared" si="15"/>
        <v>4533.4617285714285</v>
      </c>
      <c r="L32" s="85">
        <f t="shared" si="15"/>
        <v>0</v>
      </c>
    </row>
    <row r="33" spans="1:15" x14ac:dyDescent="0.25">
      <c r="A33" s="182" t="s">
        <v>594</v>
      </c>
      <c r="B33" s="38">
        <v>3.0200000000000001E-2</v>
      </c>
      <c r="C33" s="38">
        <f>Diárias!C7</f>
        <v>6.1224489795918366E-2</v>
      </c>
      <c r="D33" s="55">
        <f t="shared" si="13"/>
        <v>17384.965521999999</v>
      </c>
      <c r="E33" s="56">
        <f t="shared" si="14"/>
        <v>5434.9117285714283</v>
      </c>
      <c r="F33" s="57">
        <v>7579.67</v>
      </c>
      <c r="G33" s="55">
        <f>'D. Bioquímica'!D7</f>
        <v>17384.97</v>
      </c>
      <c r="H33" s="64">
        <f>'D. Bioquímica'!I7</f>
        <v>5434.91</v>
      </c>
      <c r="I33" s="67">
        <f>'D. Bioquímica'!N7</f>
        <v>7579.67</v>
      </c>
      <c r="J33" s="83">
        <f t="shared" si="15"/>
        <v>-4.478000002563931E-3</v>
      </c>
      <c r="K33" s="84">
        <f t="shared" si="15"/>
        <v>1.7285714284298592E-3</v>
      </c>
      <c r="L33" s="85">
        <f t="shared" si="15"/>
        <v>0</v>
      </c>
    </row>
    <row r="34" spans="1:15" x14ac:dyDescent="0.25">
      <c r="A34" s="183" t="s">
        <v>597</v>
      </c>
      <c r="B34" s="38">
        <v>3.0200000000000001E-2</v>
      </c>
      <c r="C34" s="38">
        <f>Diárias!C8</f>
        <v>4.5918367346938778E-2</v>
      </c>
      <c r="D34" s="55">
        <f t="shared" si="13"/>
        <v>17384.965521999999</v>
      </c>
      <c r="E34" s="56">
        <f t="shared" si="14"/>
        <v>4076.1837964285719</v>
      </c>
      <c r="F34" s="57">
        <v>1899.99</v>
      </c>
      <c r="G34" s="55">
        <f>'D. Ecologia'!D7</f>
        <v>17384.969999999998</v>
      </c>
      <c r="H34" s="64">
        <f>'D. Ecologia'!I7</f>
        <v>3852.32</v>
      </c>
      <c r="I34" s="67">
        <f>'D. Ecologia'!N7</f>
        <v>1899.99</v>
      </c>
      <c r="J34" s="83">
        <f t="shared" si="15"/>
        <v>-4.4779999989259522E-3</v>
      </c>
      <c r="K34" s="84">
        <f t="shared" si="15"/>
        <v>223.86379642857173</v>
      </c>
      <c r="L34" s="85">
        <f t="shared" si="15"/>
        <v>0</v>
      </c>
    </row>
    <row r="35" spans="1:15" x14ac:dyDescent="0.25">
      <c r="A35" s="184" t="s">
        <v>600</v>
      </c>
      <c r="B35" s="38">
        <v>3.0200000000000001E-2</v>
      </c>
      <c r="C35" s="38">
        <f>Diárias!C9</f>
        <v>9.1836734693877556E-2</v>
      </c>
      <c r="D35" s="55">
        <f t="shared" si="13"/>
        <v>17384.965521999999</v>
      </c>
      <c r="E35" s="56">
        <f t="shared" si="14"/>
        <v>8152.3675928571438</v>
      </c>
      <c r="F35" s="57">
        <v>45000</v>
      </c>
      <c r="G35" s="55">
        <f>'D. Estatística'!D7</f>
        <v>17384.97</v>
      </c>
      <c r="H35" s="64">
        <f>'D. Estatística'!I7</f>
        <v>2782.7900000000004</v>
      </c>
      <c r="I35" s="67">
        <f>'D. Estatística'!N7</f>
        <v>45000</v>
      </c>
      <c r="J35" s="83">
        <f t="shared" si="15"/>
        <v>-4.478000002563931E-3</v>
      </c>
      <c r="K35" s="84">
        <f t="shared" si="15"/>
        <v>5369.5775928571438</v>
      </c>
      <c r="L35" s="85">
        <f t="shared" si="15"/>
        <v>0</v>
      </c>
    </row>
    <row r="36" spans="1:15" x14ac:dyDescent="0.25">
      <c r="A36" s="185" t="s">
        <v>602</v>
      </c>
      <c r="B36" s="38">
        <v>5.0600000000000006E-2</v>
      </c>
      <c r="C36" s="38">
        <f>Diárias!C10</f>
        <v>0.20918367346938777</v>
      </c>
      <c r="D36" s="55">
        <f t="shared" si="13"/>
        <v>29128.452166000003</v>
      </c>
      <c r="E36" s="56">
        <f t="shared" si="14"/>
        <v>18569.281739285714</v>
      </c>
      <c r="F36" s="57">
        <f>1120+1945+708+9000+5000+2000+4488+1555.54+600-28.8</f>
        <v>26387.74</v>
      </c>
      <c r="G36" s="55">
        <f>'D. Física'!D7</f>
        <v>29128.45</v>
      </c>
      <c r="H36" s="64">
        <f>'D. Física'!I7</f>
        <v>18000.489999999998</v>
      </c>
      <c r="I36" s="67">
        <f>'D. Física'!N7</f>
        <v>26387.74</v>
      </c>
      <c r="J36" s="83">
        <f t="shared" si="15"/>
        <v>2.166000002034707E-3</v>
      </c>
      <c r="K36" s="84">
        <f t="shared" si="15"/>
        <v>568.79173928571618</v>
      </c>
      <c r="L36" s="85">
        <f t="shared" si="15"/>
        <v>0</v>
      </c>
    </row>
    <row r="37" spans="1:15" x14ac:dyDescent="0.25">
      <c r="A37" s="186" t="s">
        <v>605</v>
      </c>
      <c r="B37" s="38">
        <v>5.0600000000000006E-2</v>
      </c>
      <c r="C37" s="38">
        <f>Diárias!C11</f>
        <v>0.10204081632653061</v>
      </c>
      <c r="D37" s="55">
        <f t="shared" si="13"/>
        <v>29128.452166000003</v>
      </c>
      <c r="E37" s="56">
        <f t="shared" si="14"/>
        <v>9058.1862142857153</v>
      </c>
      <c r="F37" s="57">
        <v>4500</v>
      </c>
      <c r="G37" s="55">
        <f>'D. Geociências'!D7</f>
        <v>29128.450000000004</v>
      </c>
      <c r="H37" s="64">
        <f>'D. Geociências'!I7</f>
        <v>7361.0549999999994</v>
      </c>
      <c r="I37" s="67">
        <f>'D. Geociências'!N7</f>
        <v>4500</v>
      </c>
      <c r="J37" s="83">
        <f t="shared" si="15"/>
        <v>2.1659999983967282E-3</v>
      </c>
      <c r="K37" s="84">
        <f t="shared" si="15"/>
        <v>1697.1312142857159</v>
      </c>
      <c r="L37" s="85">
        <f t="shared" si="15"/>
        <v>0</v>
      </c>
    </row>
    <row r="38" spans="1:15" x14ac:dyDescent="0.25">
      <c r="A38" s="187" t="s">
        <v>608</v>
      </c>
      <c r="B38" s="38">
        <v>3.3599999999999984E-2</v>
      </c>
      <c r="C38" s="38">
        <f>Diárias!C12</f>
        <v>0.23469387755102042</v>
      </c>
      <c r="D38" s="55">
        <f t="shared" si="13"/>
        <v>19342.213295999991</v>
      </c>
      <c r="E38" s="56">
        <f t="shared" si="14"/>
        <v>20833.828292857143</v>
      </c>
      <c r="F38" s="57">
        <f>2710+4065</f>
        <v>6775</v>
      </c>
      <c r="G38" s="55">
        <f>'D. Matemática'!D7</f>
        <v>19342.21</v>
      </c>
      <c r="H38" s="64">
        <f>'D. Matemática'!I7</f>
        <v>16582.464999999997</v>
      </c>
      <c r="I38" s="67">
        <f>'D. Matemática'!N7</f>
        <v>6775</v>
      </c>
      <c r="J38" s="83">
        <f t="shared" si="15"/>
        <v>3.2959999916784E-3</v>
      </c>
      <c r="K38" s="84">
        <f t="shared" si="15"/>
        <v>4251.363292857146</v>
      </c>
      <c r="L38" s="85">
        <f t="shared" si="15"/>
        <v>0</v>
      </c>
    </row>
    <row r="39" spans="1:15" x14ac:dyDescent="0.25">
      <c r="A39" s="188" t="s">
        <v>610</v>
      </c>
      <c r="B39" s="38">
        <v>7.0999999999999994E-2</v>
      </c>
      <c r="C39" s="38">
        <f>Diárias!C13</f>
        <v>0.19387755102040816</v>
      </c>
      <c r="D39" s="55">
        <f t="shared" si="13"/>
        <v>40871.938809999992</v>
      </c>
      <c r="E39" s="56">
        <f t="shared" si="14"/>
        <v>17210.553807142856</v>
      </c>
      <c r="F39" s="57">
        <f>1676+1336.22+2300+1764.36+979+1072</f>
        <v>9127.58</v>
      </c>
      <c r="G39" s="55">
        <f>'D. Química'!D7</f>
        <v>40871.939999999988</v>
      </c>
      <c r="H39" s="64">
        <f>'D. Química'!I7</f>
        <v>10748.18</v>
      </c>
      <c r="I39" s="67">
        <f>'D. Química'!N7</f>
        <v>9127.58</v>
      </c>
      <c r="J39" s="83">
        <f t="shared" si="15"/>
        <v>-1.1899999954039231E-3</v>
      </c>
      <c r="K39" s="84">
        <f t="shared" si="15"/>
        <v>6462.3738071428561</v>
      </c>
      <c r="L39" s="85">
        <f t="shared" si="15"/>
        <v>0</v>
      </c>
    </row>
    <row r="40" spans="1:15" ht="15.75" x14ac:dyDescent="0.25">
      <c r="A40" s="29" t="s">
        <v>676</v>
      </c>
      <c r="B40" s="39"/>
      <c r="C40" s="39"/>
      <c r="D40" s="52">
        <f t="shared" ref="D40:L40" si="16">SUM(D41)</f>
        <v>4605.2888800000001</v>
      </c>
      <c r="E40" s="53">
        <f t="shared" si="16"/>
        <v>0</v>
      </c>
      <c r="F40" s="54">
        <f t="shared" si="16"/>
        <v>0</v>
      </c>
      <c r="G40" s="52">
        <f t="shared" si="16"/>
        <v>4605.29</v>
      </c>
      <c r="H40" s="53">
        <f t="shared" si="16"/>
        <v>0</v>
      </c>
      <c r="I40" s="54">
        <f t="shared" si="16"/>
        <v>0</v>
      </c>
      <c r="J40" s="86">
        <f t="shared" si="16"/>
        <v>-1.1199999999007559E-3</v>
      </c>
      <c r="K40" s="87">
        <f t="shared" si="16"/>
        <v>0</v>
      </c>
      <c r="L40" s="88">
        <f t="shared" si="16"/>
        <v>0</v>
      </c>
    </row>
    <row r="41" spans="1:15" x14ac:dyDescent="0.25">
      <c r="A41" s="189" t="s">
        <v>676</v>
      </c>
      <c r="B41" s="38">
        <v>8.0000000000000002E-3</v>
      </c>
      <c r="C41" s="38">
        <v>0</v>
      </c>
      <c r="D41" s="55">
        <f>$D$49*B41</f>
        <v>4605.2888800000001</v>
      </c>
      <c r="E41" s="56">
        <f>$E$49*C41</f>
        <v>0</v>
      </c>
      <c r="F41" s="57">
        <v>0</v>
      </c>
      <c r="G41" s="55">
        <f>Diretórios!D7</f>
        <v>4605.29</v>
      </c>
      <c r="H41" s="56">
        <f>Diretórios!I7</f>
        <v>0</v>
      </c>
      <c r="I41" s="57">
        <f>Diretórios!N7</f>
        <v>0</v>
      </c>
      <c r="J41" s="83">
        <f>D41-G41</f>
        <v>-1.1199999999007559E-3</v>
      </c>
      <c r="K41" s="84">
        <f>E41-H41</f>
        <v>0</v>
      </c>
      <c r="L41" s="85">
        <f>F41-I41</f>
        <v>0</v>
      </c>
    </row>
    <row r="42" spans="1:15" ht="15.75" x14ac:dyDescent="0.25">
      <c r="A42" s="29" t="s">
        <v>677</v>
      </c>
      <c r="B42" s="39"/>
      <c r="C42" s="39"/>
      <c r="D42" s="52">
        <f t="shared" ref="D42:L42" si="17">SUM(D43:D47)</f>
        <v>233142.74954999998</v>
      </c>
      <c r="E42" s="53">
        <f t="shared" si="17"/>
        <v>6674.4530000000004</v>
      </c>
      <c r="F42" s="54">
        <f t="shared" si="17"/>
        <v>38602.040000000008</v>
      </c>
      <c r="G42" s="52">
        <f t="shared" si="17"/>
        <v>216704.00999999972</v>
      </c>
      <c r="H42" s="53">
        <f t="shared" si="17"/>
        <v>5363.9699999999984</v>
      </c>
      <c r="I42" s="54">
        <f t="shared" si="17"/>
        <v>38454.470000000016</v>
      </c>
      <c r="J42" s="86">
        <f t="shared" si="17"/>
        <v>16438.739550000268</v>
      </c>
      <c r="K42" s="87">
        <f t="shared" si="17"/>
        <v>1310.483000000002</v>
      </c>
      <c r="L42" s="88">
        <f t="shared" si="17"/>
        <v>147.56999999999243</v>
      </c>
    </row>
    <row r="43" spans="1:15" x14ac:dyDescent="0.25">
      <c r="A43" s="190" t="s">
        <v>12</v>
      </c>
      <c r="B43" s="38">
        <v>0.35</v>
      </c>
      <c r="C43" s="38">
        <v>0.05</v>
      </c>
      <c r="D43" s="55">
        <f>$D$49*B43</f>
        <v>201481.38849999997</v>
      </c>
      <c r="E43" s="56">
        <f>$E$49*C43</f>
        <v>6674.4530000000004</v>
      </c>
      <c r="F43" s="57">
        <f>4500+9000+1120+1250+1250+1227.97+186.64+933.2+529+280+2462+2462+1740+1447.99+2625+760+2462+164.12+180.33-240+6687.99+28.8-1899.99-4065</f>
        <v>35092.05000000001</v>
      </c>
      <c r="G43" s="55">
        <f>Direção!D7</f>
        <v>186042.6499999997</v>
      </c>
      <c r="H43" s="64">
        <f>Direção!I7</f>
        <v>5363.9699999999984</v>
      </c>
      <c r="I43" s="67">
        <f>Direção!N7</f>
        <v>34944.480000000018</v>
      </c>
      <c r="J43" s="83">
        <f t="shared" ref="J43:L47" si="18">D43-G43</f>
        <v>15438.738500000269</v>
      </c>
      <c r="K43" s="84">
        <f t="shared" si="18"/>
        <v>1310.483000000002</v>
      </c>
      <c r="L43" s="85">
        <f t="shared" si="18"/>
        <v>147.56999999999243</v>
      </c>
    </row>
    <row r="44" spans="1:15" x14ac:dyDescent="0.25">
      <c r="A44" s="191" t="s">
        <v>678</v>
      </c>
      <c r="B44" s="38">
        <v>0.01</v>
      </c>
      <c r="C44" s="38">
        <v>0</v>
      </c>
      <c r="D44" s="55">
        <f>$D$49*B44</f>
        <v>5756.6111000000001</v>
      </c>
      <c r="E44" s="56">
        <f>$E$49*C44</f>
        <v>0</v>
      </c>
      <c r="F44" s="57">
        <v>0</v>
      </c>
      <c r="G44" s="55">
        <f>CAPPA!D7</f>
        <v>4756.6100000000015</v>
      </c>
      <c r="H44" s="64">
        <f>CAPPA!I7</f>
        <v>0</v>
      </c>
      <c r="I44" s="67">
        <f>CAPPA!N7</f>
        <v>0</v>
      </c>
      <c r="J44" s="83">
        <f t="shared" si="18"/>
        <v>1000.0010999999986</v>
      </c>
      <c r="K44" s="84">
        <f t="shared" si="18"/>
        <v>0</v>
      </c>
      <c r="L44" s="85">
        <f t="shared" si="18"/>
        <v>0</v>
      </c>
    </row>
    <row r="45" spans="1:15" x14ac:dyDescent="0.25">
      <c r="A45" s="192" t="s">
        <v>101</v>
      </c>
      <c r="B45" s="38">
        <v>1.4999999999999999E-2</v>
      </c>
      <c r="C45" s="38">
        <v>0</v>
      </c>
      <c r="D45" s="55">
        <f>$D$49*B45</f>
        <v>8634.9166499999992</v>
      </c>
      <c r="E45" s="56">
        <f>$E$49*C45</f>
        <v>0</v>
      </c>
      <c r="F45" s="57">
        <v>480</v>
      </c>
      <c r="G45" s="55">
        <f>Biblioteca!D7</f>
        <v>8634.9200000000019</v>
      </c>
      <c r="H45" s="64">
        <f>Biblioteca!I7</f>
        <v>0</v>
      </c>
      <c r="I45" s="67">
        <f>Biblioteca!N7</f>
        <v>480</v>
      </c>
      <c r="J45" s="83">
        <f t="shared" si="18"/>
        <v>-3.3500000026833732E-3</v>
      </c>
      <c r="K45" s="84">
        <f t="shared" si="18"/>
        <v>0</v>
      </c>
      <c r="L45" s="85">
        <f t="shared" si="18"/>
        <v>0</v>
      </c>
    </row>
    <row r="46" spans="1:15" x14ac:dyDescent="0.25">
      <c r="A46" s="193" t="s">
        <v>679</v>
      </c>
      <c r="B46" s="38">
        <v>0.02</v>
      </c>
      <c r="C46" s="38">
        <v>0</v>
      </c>
      <c r="D46" s="55">
        <f>$D$49*B46</f>
        <v>11513.2222</v>
      </c>
      <c r="E46" s="56">
        <f>$E$49*C46</f>
        <v>0</v>
      </c>
      <c r="F46" s="57">
        <v>3029.99</v>
      </c>
      <c r="G46" s="55">
        <f>'Jardim Botânico'!D7</f>
        <v>11513.22</v>
      </c>
      <c r="H46" s="64">
        <f>'Jardim Botânico'!I7</f>
        <v>0</v>
      </c>
      <c r="I46" s="67">
        <f>'Jardim Botânico'!N7</f>
        <v>3029.99</v>
      </c>
      <c r="J46" s="83">
        <f t="shared" si="18"/>
        <v>2.2000000008119969E-3</v>
      </c>
      <c r="K46" s="84">
        <f t="shared" si="18"/>
        <v>0</v>
      </c>
      <c r="L46" s="85">
        <f t="shared" si="18"/>
        <v>0</v>
      </c>
    </row>
    <row r="47" spans="1:15" x14ac:dyDescent="0.25">
      <c r="A47" s="194" t="s">
        <v>680</v>
      </c>
      <c r="B47" s="38">
        <v>0.01</v>
      </c>
      <c r="C47" s="38">
        <v>0</v>
      </c>
      <c r="D47" s="55">
        <f>$D$49*B47</f>
        <v>5756.6111000000001</v>
      </c>
      <c r="E47" s="56">
        <f>$E$49*C47</f>
        <v>0</v>
      </c>
      <c r="F47" s="57">
        <v>0</v>
      </c>
      <c r="G47" s="55">
        <f>Revista!D7</f>
        <v>5756.61</v>
      </c>
      <c r="H47" s="64">
        <f>Revista!I7</f>
        <v>0</v>
      </c>
      <c r="I47" s="67">
        <f>Revista!N7</f>
        <v>0</v>
      </c>
      <c r="J47" s="83">
        <f t="shared" si="18"/>
        <v>1.1000000004059984E-3</v>
      </c>
      <c r="K47" s="84">
        <f t="shared" si="18"/>
        <v>0</v>
      </c>
      <c r="L47" s="85">
        <f t="shared" si="18"/>
        <v>0</v>
      </c>
    </row>
    <row r="48" spans="1:15" ht="15.75" x14ac:dyDescent="0.25">
      <c r="A48" s="30" t="s">
        <v>681</v>
      </c>
      <c r="B48" s="40">
        <f>SUM(B8:B47)</f>
        <v>1</v>
      </c>
      <c r="C48" s="40">
        <f>SUM(C8:C47)</f>
        <v>1.05</v>
      </c>
      <c r="D48" s="58">
        <f t="shared" ref="D48:L48" si="19">D8+D18+D31+D40+D42</f>
        <v>575661.11</v>
      </c>
      <c r="E48" s="59">
        <f t="shared" si="19"/>
        <v>95444.677899999995</v>
      </c>
      <c r="F48" s="60">
        <f t="shared" si="19"/>
        <v>141830.02000000002</v>
      </c>
      <c r="G48" s="58">
        <f t="shared" si="19"/>
        <v>559222.39999999967</v>
      </c>
      <c r="H48" s="59">
        <f t="shared" si="19"/>
        <v>71027.625</v>
      </c>
      <c r="I48" s="60">
        <f t="shared" si="19"/>
        <v>141682.45000000001</v>
      </c>
      <c r="J48" s="89">
        <f t="shared" si="19"/>
        <v>16438.710000000247</v>
      </c>
      <c r="K48" s="90">
        <f t="shared" si="19"/>
        <v>24417.05290000001</v>
      </c>
      <c r="L48" s="91">
        <f t="shared" si="19"/>
        <v>147.56999999999243</v>
      </c>
      <c r="N48" s="65"/>
      <c r="O48" s="65"/>
    </row>
    <row r="49" spans="1:12" ht="15.75" x14ac:dyDescent="0.25">
      <c r="A49" s="217" t="s">
        <v>682</v>
      </c>
      <c r="B49" s="218"/>
      <c r="C49" s="51"/>
      <c r="D49" s="61">
        <f>354575.06-E49+354575.11</f>
        <v>575661.11</v>
      </c>
      <c r="E49" s="61">
        <v>133489.06</v>
      </c>
      <c r="F49" s="62">
        <v>141830.01999999999</v>
      </c>
      <c r="G49" s="1"/>
      <c r="H49" s="1"/>
      <c r="I49" s="1"/>
      <c r="J49" s="1"/>
      <c r="K49" s="1"/>
      <c r="L49" s="1"/>
    </row>
    <row r="50" spans="1:12" x14ac:dyDescent="0.25">
      <c r="J50" s="66"/>
    </row>
    <row r="51" spans="1:12" ht="34.5" customHeight="1" x14ac:dyDescent="0.25">
      <c r="A51" s="219" t="s">
        <v>683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</row>
    <row r="52" spans="1:12" x14ac:dyDescent="0.25">
      <c r="D52" s="66"/>
      <c r="L52" s="66"/>
    </row>
    <row r="53" spans="1:12" x14ac:dyDescent="0.25">
      <c r="F53" s="66"/>
      <c r="I53" s="66"/>
      <c r="L53" s="66"/>
    </row>
  </sheetData>
  <mergeCells count="13">
    <mergeCell ref="A49:B49"/>
    <mergeCell ref="A51:L51"/>
    <mergeCell ref="A1:O1"/>
    <mergeCell ref="A2:O2"/>
    <mergeCell ref="A3:O3"/>
    <mergeCell ref="A4:O4"/>
    <mergeCell ref="O5:O7"/>
    <mergeCell ref="D6:F6"/>
    <mergeCell ref="G6:I6"/>
    <mergeCell ref="J6:L6"/>
    <mergeCell ref="A6:A7"/>
    <mergeCell ref="B6:B7"/>
    <mergeCell ref="C6:C7"/>
  </mergeCells>
  <hyperlinks>
    <hyperlink ref="A9" location="'C. Biologia'!A1" display="Biologia"/>
    <hyperlink ref="A10" location="'C. Estatística'!A1" display="Estatistica"/>
    <hyperlink ref="A11" location="'C. Física'!A1" display="Física"/>
    <hyperlink ref="A12" location="'C. Geografia'!A1" display="Geografia"/>
    <hyperlink ref="A13" location="'C. Matemática'!A1" display="Matemática"/>
    <hyperlink ref="A14" location="'C. Meteorologia'!A1" display="Meteorologia"/>
    <hyperlink ref="A15" location="'C. Química'!A1" display="Química"/>
    <hyperlink ref="A16" location="'C. Química Industrial'!A1" display="Química industrial"/>
    <hyperlink ref="A17" location="'C. Tec. Processos Q.'!A1" display="Tecnologia Processo Químicos"/>
    <hyperlink ref="A19" location="'PPG Agrobiologia'!A1" display="Agrobiologia"/>
    <hyperlink ref="A20" location="'PPG Bioquímica'!A1" display="Bioquímica "/>
    <hyperlink ref="A21" location="'PPG Biodiversidade'!A1" display="Biodiversidade Animal"/>
    <hyperlink ref="A22" location="'PPG Educação Mat.'!A1" display="Educação Matemática e Ensino de Física"/>
    <hyperlink ref="A23" location="'PPG Física'!A1" display="Física "/>
    <hyperlink ref="A24" location="'PPG Geografia'!A1" display="Geografia"/>
    <hyperlink ref="A25" location="'PPG Matemática'!A1" display="Matemática "/>
    <hyperlink ref="A26" location="'PPG Meteorologia'!A1" display="Meteorologia"/>
    <hyperlink ref="A27" location="'PPG Química'!A1" display="Química"/>
    <hyperlink ref="A28" location="'PPG Química da Vida '!A1" display="Química da Vida e Saúde"/>
    <hyperlink ref="A29" location="'PPG Estatística'!A1" display="Estatística"/>
    <hyperlink ref="A30" location="PROFMAT!A1" display="Profmat"/>
    <hyperlink ref="A32" location="'D. Biologia'!A1" display="Biologia"/>
    <hyperlink ref="A33" location="'D. Bioquímica'!A1" display="Bioquímica e Biologia Molecular"/>
    <hyperlink ref="A34" location="'D. Ecologia'!A1" display="Ecologia e Evolução"/>
    <hyperlink ref="A35" location="'D. Estatística'!A1" display="Estatística"/>
    <hyperlink ref="A36" location="'D. Física'!A1" display="Física"/>
    <hyperlink ref="A37" location="'D. Geociências'!A1" display="Geociências"/>
    <hyperlink ref="A38" location="'D. Matemática'!A1" display="Matemática"/>
    <hyperlink ref="A39" location="'D. Química'!A1" display="Química"/>
    <hyperlink ref="A41" location="Diretórios!A1" display="Diretórios"/>
    <hyperlink ref="A43" location="Direção!A1" display="Direção"/>
    <hyperlink ref="A44" location="CAPPA!A1" display="Cappa"/>
    <hyperlink ref="A45" location="Biblioteca!A1" display="Biblioteca"/>
    <hyperlink ref="A46" location="'Jardim Botânico'!A1" display="Jardim botânico"/>
    <hyperlink ref="A47" location="Revista!A1" display="Revista"/>
  </hyperlinks>
  <pageMargins left="0.51180599999999998" right="0.51180599999999998" top="0.78749999999999998" bottom="0.78749999999999998" header="0.315278" footer="0.315278"/>
  <pageSetup paperSize="9" fitToWidth="0"/>
  <legacyDrawing r:id="rId1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22" sqref="A22:C22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3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684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Geral!D9</f>
        <v>8634.9166499999992</v>
      </c>
      <c r="F6" s="211" t="s">
        <v>687</v>
      </c>
      <c r="G6" s="212"/>
      <c r="H6" s="14" t="s">
        <v>582</v>
      </c>
      <c r="I6" s="24">
        <f>Geral!E9</f>
        <v>0</v>
      </c>
      <c r="K6" s="230" t="s">
        <v>688</v>
      </c>
      <c r="L6" s="230"/>
      <c r="M6" s="4" t="s">
        <v>582</v>
      </c>
      <c r="N6" s="24">
        <f>Geral!F9</f>
        <v>0</v>
      </c>
    </row>
    <row r="7" spans="1:14" ht="15" customHeight="1" x14ac:dyDescent="0.25">
      <c r="A7" s="230"/>
      <c r="B7" s="230"/>
      <c r="C7" s="3" t="s">
        <v>583</v>
      </c>
      <c r="D7" s="24">
        <f>SUM(D10:D33)</f>
        <v>8634.92</v>
      </c>
      <c r="F7" s="213"/>
      <c r="G7" s="214"/>
      <c r="H7" s="14" t="s">
        <v>583</v>
      </c>
      <c r="I7" s="24">
        <f>SUM(I10:I33)</f>
        <v>0</v>
      </c>
      <c r="K7" s="230"/>
      <c r="L7" s="230"/>
      <c r="M7" s="4" t="s">
        <v>583</v>
      </c>
      <c r="N7" s="24">
        <f>SUM(N10:N33)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-3.3500000008643838E-3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43578</v>
      </c>
      <c r="B10" s="71"/>
      <c r="C10" s="10" t="s">
        <v>689</v>
      </c>
      <c r="D10" s="23">
        <v>450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43606</v>
      </c>
      <c r="B11" s="6"/>
      <c r="C11" s="7" t="s">
        <v>690</v>
      </c>
      <c r="D11" s="24">
        <v>14.2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43608</v>
      </c>
      <c r="B12" s="6"/>
      <c r="C12" s="10" t="s">
        <v>691</v>
      </c>
      <c r="D12" s="24">
        <f>450+450</f>
        <v>900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43627</v>
      </c>
      <c r="B13" s="6"/>
      <c r="C13" s="7" t="s">
        <v>692</v>
      </c>
      <c r="D13" s="24">
        <v>-411.7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43640</v>
      </c>
      <c r="B14" s="71"/>
      <c r="C14" s="10" t="s">
        <v>693</v>
      </c>
      <c r="D14" s="23">
        <v>950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43644</v>
      </c>
      <c r="B15" s="6" t="s">
        <v>694</v>
      </c>
      <c r="C15" s="76" t="s">
        <v>420</v>
      </c>
      <c r="D15" s="79">
        <v>1431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43644</v>
      </c>
      <c r="B16" s="71"/>
      <c r="C16" s="10" t="s">
        <v>695</v>
      </c>
      <c r="D16" s="23">
        <v>-715.5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43691</v>
      </c>
      <c r="B17" s="6"/>
      <c r="C17" s="7" t="s">
        <v>696</v>
      </c>
      <c r="D17" s="24">
        <v>14.2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43698</v>
      </c>
      <c r="B18" s="71"/>
      <c r="C18" s="10" t="s">
        <v>697</v>
      </c>
      <c r="D18" s="23">
        <v>450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43742</v>
      </c>
      <c r="B19" s="6"/>
      <c r="C19" s="7" t="s">
        <v>698</v>
      </c>
      <c r="D19" s="24">
        <v>240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43742</v>
      </c>
      <c r="B20" s="6"/>
      <c r="C20" s="7" t="s">
        <v>699</v>
      </c>
      <c r="D20" s="24">
        <v>2001.72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11">
        <v>43754</v>
      </c>
      <c r="B21" s="6"/>
      <c r="C21" s="7" t="s">
        <v>700</v>
      </c>
      <c r="D21" s="24">
        <v>980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43759</v>
      </c>
      <c r="B22" s="6"/>
      <c r="C22" s="7" t="s">
        <v>701</v>
      </c>
      <c r="D22" s="24">
        <v>2331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  <row r="33" spans="1:14" x14ac:dyDescent="0.25">
      <c r="A33" s="5"/>
      <c r="B33" s="6"/>
      <c r="C33" s="7"/>
      <c r="D33" s="24"/>
      <c r="F33" s="5"/>
      <c r="G33" s="6"/>
      <c r="H33" s="7"/>
      <c r="I33" s="24"/>
      <c r="K33" s="8"/>
      <c r="L33" s="6"/>
      <c r="M33" s="7"/>
      <c r="N33" s="24"/>
    </row>
    <row r="37" spans="1:14" x14ac:dyDescent="0.25">
      <c r="B37" s="44"/>
      <c r="C37" s="45" t="s">
        <v>702</v>
      </c>
      <c r="D37" s="23"/>
    </row>
    <row r="38" spans="1:14" x14ac:dyDescent="0.25">
      <c r="B38" s="5">
        <v>43742</v>
      </c>
      <c r="C38" s="7" t="s">
        <v>699</v>
      </c>
      <c r="D38" s="24">
        <v>2001.72</v>
      </c>
    </row>
    <row r="39" spans="1:14" x14ac:dyDescent="0.25">
      <c r="B39" s="44"/>
      <c r="C39" s="10"/>
      <c r="D39" s="23"/>
    </row>
    <row r="40" spans="1:14" x14ac:dyDescent="0.25">
      <c r="B40" s="44"/>
      <c r="C40" s="10"/>
      <c r="D40" s="23"/>
    </row>
    <row r="41" spans="1:14" x14ac:dyDescent="0.25">
      <c r="B41" s="44"/>
      <c r="C41" s="10" t="s">
        <v>703</v>
      </c>
      <c r="D41" s="48">
        <f>SUM(D37:D40)</f>
        <v>2001.72</v>
      </c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3" workbookViewId="0">
      <selection activeCell="A5" sqref="A5:B5"/>
    </sheetView>
  </sheetViews>
  <sheetFormatPr defaultRowHeight="15" x14ac:dyDescent="0.25"/>
  <cols>
    <col min="1" max="1" width="11.5703125" customWidth="1"/>
    <col min="2" max="2" width="14.140625" customWidth="1"/>
    <col min="3" max="3" width="71.28515625" customWidth="1"/>
    <col min="4" max="4" width="13.425781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704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Geral!D10</f>
        <v>8634.9166499999992</v>
      </c>
      <c r="F6" s="211" t="s">
        <v>687</v>
      </c>
      <c r="G6" s="212"/>
      <c r="H6" s="14" t="s">
        <v>582</v>
      </c>
      <c r="I6" s="24">
        <f>Geral!E10</f>
        <v>0</v>
      </c>
      <c r="K6" s="230" t="s">
        <v>688</v>
      </c>
      <c r="L6" s="230"/>
      <c r="M6" s="4" t="s">
        <v>582</v>
      </c>
      <c r="N6" s="24">
        <f>Geral!F10</f>
        <v>0</v>
      </c>
    </row>
    <row r="7" spans="1:14" ht="15" customHeight="1" x14ac:dyDescent="0.25">
      <c r="A7" s="230"/>
      <c r="B7" s="230"/>
      <c r="C7" s="3" t="s">
        <v>583</v>
      </c>
      <c r="D7" s="24">
        <f>SUM(D10:D27)</f>
        <v>8634.92</v>
      </c>
      <c r="F7" s="213"/>
      <c r="G7" s="214"/>
      <c r="H7" s="14" t="s">
        <v>583</v>
      </c>
      <c r="I7" s="24">
        <f>SUM(I10:I27)</f>
        <v>0</v>
      </c>
      <c r="K7" s="230"/>
      <c r="L7" s="230"/>
      <c r="M7" s="4" t="s">
        <v>583</v>
      </c>
      <c r="N7" s="24">
        <f>SUM(N10:N27)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-3.3500000008643838E-3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43571</v>
      </c>
      <c r="B10" s="6"/>
      <c r="C10" s="7" t="s">
        <v>692</v>
      </c>
      <c r="D10" s="24">
        <v>-2356.67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43571</v>
      </c>
      <c r="B11" s="95">
        <v>4914</v>
      </c>
      <c r="C11" s="7" t="s">
        <v>705</v>
      </c>
      <c r="D11" s="24">
        <v>108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43608</v>
      </c>
      <c r="B12" s="95">
        <v>6675</v>
      </c>
      <c r="C12" s="7" t="s">
        <v>705</v>
      </c>
      <c r="D12" s="24">
        <v>68.7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43640</v>
      </c>
      <c r="B13" s="71"/>
      <c r="C13" s="10" t="s">
        <v>706</v>
      </c>
      <c r="D13" s="23">
        <v>150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43640</v>
      </c>
      <c r="B14" s="6"/>
      <c r="C14" s="10" t="s">
        <v>707</v>
      </c>
      <c r="D14" s="24">
        <v>3000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43662</v>
      </c>
      <c r="B15" s="71"/>
      <c r="C15" s="10" t="s">
        <v>708</v>
      </c>
      <c r="D15" s="23">
        <v>150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43713</v>
      </c>
      <c r="B16" s="95">
        <v>11507</v>
      </c>
      <c r="C16" s="7" t="s">
        <v>705</v>
      </c>
      <c r="D16" s="24">
        <v>68.7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43720</v>
      </c>
      <c r="B17" s="95">
        <v>11859</v>
      </c>
      <c r="C17" s="7" t="s">
        <v>705</v>
      </c>
      <c r="D17" s="24">
        <v>625.11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5">
        <v>43720</v>
      </c>
      <c r="B18" s="95">
        <v>11927</v>
      </c>
      <c r="C18" s="7" t="s">
        <v>709</v>
      </c>
      <c r="D18" s="24">
        <v>1596.67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43721</v>
      </c>
      <c r="B19" s="95">
        <v>11941</v>
      </c>
      <c r="C19" s="7" t="s">
        <v>705</v>
      </c>
      <c r="D19" s="23">
        <v>535.16999999999996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43726</v>
      </c>
      <c r="B20" s="95"/>
      <c r="C20" s="7" t="s">
        <v>710</v>
      </c>
      <c r="D20" s="23">
        <v>309.24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43732</v>
      </c>
      <c r="B21" s="6"/>
      <c r="C21" s="7" t="s">
        <v>711</v>
      </c>
      <c r="D21" s="24">
        <v>300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11">
        <v>43734</v>
      </c>
      <c r="B22" s="6"/>
      <c r="C22" s="7" t="s">
        <v>712</v>
      </c>
      <c r="D22" s="24">
        <v>3000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43734</v>
      </c>
      <c r="B23" s="6"/>
      <c r="C23" s="7" t="s">
        <v>713</v>
      </c>
      <c r="D23" s="24">
        <v>480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43742</v>
      </c>
      <c r="B24" s="6"/>
      <c r="C24" s="7" t="s">
        <v>714</v>
      </c>
      <c r="D24" s="24">
        <v>600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31"/>
      <c r="B28" s="32"/>
      <c r="C28" s="33"/>
      <c r="D28" s="41"/>
      <c r="F28" s="31"/>
      <c r="G28" s="32"/>
      <c r="H28" s="33"/>
      <c r="I28" s="34"/>
      <c r="K28" s="35"/>
      <c r="L28" s="32"/>
      <c r="M28" s="33"/>
      <c r="N28" s="34"/>
    </row>
    <row r="29" spans="1:14" x14ac:dyDescent="0.25">
      <c r="B29" s="44"/>
      <c r="C29" s="45" t="s">
        <v>715</v>
      </c>
      <c r="D29" s="23">
        <v>2430</v>
      </c>
    </row>
    <row r="30" spans="1:14" x14ac:dyDescent="0.25">
      <c r="B30" s="5">
        <v>43612</v>
      </c>
      <c r="C30" s="10" t="s">
        <v>716</v>
      </c>
      <c r="D30" s="23">
        <v>35</v>
      </c>
    </row>
    <row r="31" spans="1:14" x14ac:dyDescent="0.25">
      <c r="B31" s="5">
        <v>43734</v>
      </c>
      <c r="C31" s="10" t="s">
        <v>717</v>
      </c>
      <c r="D31" s="23">
        <f>250+45</f>
        <v>295</v>
      </c>
    </row>
    <row r="32" spans="1:14" x14ac:dyDescent="0.25">
      <c r="B32" s="5">
        <v>43742</v>
      </c>
      <c r="C32" s="10" t="s">
        <v>698</v>
      </c>
      <c r="D32" s="23">
        <v>540</v>
      </c>
    </row>
    <row r="33" spans="1:4" x14ac:dyDescent="0.25">
      <c r="B33" s="68"/>
      <c r="C33" s="7"/>
      <c r="D33" s="23"/>
    </row>
    <row r="34" spans="1:4" x14ac:dyDescent="0.25">
      <c r="B34" s="68"/>
      <c r="C34" s="10"/>
      <c r="D34" s="23"/>
    </row>
    <row r="35" spans="1:4" x14ac:dyDescent="0.25">
      <c r="B35" s="44"/>
      <c r="C35" s="10" t="s">
        <v>703</v>
      </c>
      <c r="D35" s="48">
        <f>D29-SUM(D30:D34)</f>
        <v>1560</v>
      </c>
    </row>
    <row r="37" spans="1:4" x14ac:dyDescent="0.25">
      <c r="A37" s="232" t="s">
        <v>718</v>
      </c>
      <c r="B37" s="232"/>
      <c r="C37" s="232"/>
      <c r="D37" s="148">
        <f>D20</f>
        <v>309.24</v>
      </c>
    </row>
    <row r="38" spans="1:4" x14ac:dyDescent="0.25">
      <c r="A38" s="5">
        <v>43759</v>
      </c>
      <c r="B38" s="95">
        <v>13698</v>
      </c>
      <c r="C38" s="7" t="s">
        <v>705</v>
      </c>
      <c r="D38" s="23">
        <v>80</v>
      </c>
    </row>
    <row r="39" spans="1:4" x14ac:dyDescent="0.25">
      <c r="A39" s="10"/>
      <c r="B39" s="147"/>
      <c r="C39" s="10"/>
      <c r="D39" s="23"/>
    </row>
    <row r="40" spans="1:4" x14ac:dyDescent="0.25">
      <c r="A40" s="10"/>
      <c r="B40" s="147"/>
      <c r="C40" s="10"/>
      <c r="D40" s="23"/>
    </row>
    <row r="41" spans="1:4" x14ac:dyDescent="0.25">
      <c r="A41" s="10"/>
      <c r="B41" s="147"/>
      <c r="C41" s="10"/>
      <c r="D41" s="23"/>
    </row>
    <row r="42" spans="1:4" x14ac:dyDescent="0.25">
      <c r="A42" s="10"/>
      <c r="B42" s="147"/>
      <c r="C42" s="10"/>
      <c r="D42" s="23"/>
    </row>
    <row r="43" spans="1:4" x14ac:dyDescent="0.25">
      <c r="A43" s="10"/>
      <c r="B43" s="147"/>
      <c r="C43" s="10"/>
      <c r="D43" s="23"/>
    </row>
    <row r="44" spans="1:4" x14ac:dyDescent="0.25">
      <c r="A44" s="10"/>
      <c r="B44" s="147"/>
      <c r="C44" s="10"/>
      <c r="D44" s="23"/>
    </row>
    <row r="45" spans="1:4" x14ac:dyDescent="0.25">
      <c r="A45" s="10"/>
      <c r="B45" s="147"/>
      <c r="C45" s="10"/>
      <c r="D45" s="23"/>
    </row>
    <row r="46" spans="1:4" x14ac:dyDescent="0.25">
      <c r="A46" s="10"/>
      <c r="B46" s="147"/>
      <c r="C46" s="10"/>
      <c r="D46" s="23"/>
    </row>
    <row r="47" spans="1:4" x14ac:dyDescent="0.25">
      <c r="A47" s="151"/>
      <c r="B47" s="152"/>
      <c r="C47" s="151"/>
      <c r="D47" s="23"/>
    </row>
    <row r="48" spans="1:4" x14ac:dyDescent="0.25">
      <c r="A48" s="232" t="s">
        <v>703</v>
      </c>
      <c r="B48" s="232"/>
      <c r="C48" s="232"/>
      <c r="D48" s="148">
        <f>D37-SUM(D38:D47)</f>
        <v>229.24</v>
      </c>
    </row>
  </sheetData>
  <mergeCells count="10">
    <mergeCell ref="A1:N1"/>
    <mergeCell ref="A2:N2"/>
    <mergeCell ref="A3:N3"/>
    <mergeCell ref="A4:N4"/>
    <mergeCell ref="A5:B5"/>
    <mergeCell ref="A6:B8"/>
    <mergeCell ref="F6:G8"/>
    <mergeCell ref="K6:L8"/>
    <mergeCell ref="A37:C37"/>
    <mergeCell ref="A48:C48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17" sqref="A17:C17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140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719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Geral!D11</f>
        <v>8634.9166499999992</v>
      </c>
      <c r="F6" s="211" t="s">
        <v>687</v>
      </c>
      <c r="G6" s="212"/>
      <c r="H6" s="14" t="s">
        <v>582</v>
      </c>
      <c r="I6" s="24">
        <f>Geral!E11</f>
        <v>0</v>
      </c>
      <c r="K6" s="230" t="s">
        <v>688</v>
      </c>
      <c r="L6" s="230"/>
      <c r="M6" s="4" t="s">
        <v>582</v>
      </c>
      <c r="N6" s="24">
        <f>Geral!F11</f>
        <v>0</v>
      </c>
    </row>
    <row r="7" spans="1:14" ht="15" customHeight="1" x14ac:dyDescent="0.25">
      <c r="A7" s="230"/>
      <c r="B7" s="230"/>
      <c r="C7" s="3" t="s">
        <v>583</v>
      </c>
      <c r="D7" s="24">
        <f>SUM(D10:D32)</f>
        <v>8634.9199999999983</v>
      </c>
      <c r="F7" s="213"/>
      <c r="G7" s="214"/>
      <c r="H7" s="14" t="s">
        <v>583</v>
      </c>
      <c r="I7" s="24">
        <f>SUM(I10:I32)</f>
        <v>0</v>
      </c>
      <c r="K7" s="230"/>
      <c r="L7" s="230"/>
      <c r="M7" s="4" t="s">
        <v>583</v>
      </c>
      <c r="N7" s="24">
        <f>SUM(N10:N32)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-3.3499999990453944E-3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43517</v>
      </c>
      <c r="B10" s="6"/>
      <c r="C10" s="7" t="s">
        <v>720</v>
      </c>
      <c r="D10" s="24">
        <v>500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94">
        <v>1903</v>
      </c>
      <c r="B11" s="95">
        <v>2518</v>
      </c>
      <c r="C11" s="76" t="s">
        <v>240</v>
      </c>
      <c r="D11" s="79">
        <v>20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43544</v>
      </c>
      <c r="B12" s="95"/>
      <c r="C12" s="7" t="s">
        <v>721</v>
      </c>
      <c r="D12" s="24">
        <v>100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43560</v>
      </c>
      <c r="B13" s="95">
        <v>3376</v>
      </c>
      <c r="C13" s="76" t="s">
        <v>280</v>
      </c>
      <c r="D13" s="79">
        <v>20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43608</v>
      </c>
      <c r="B14" s="6"/>
      <c r="C14" s="7" t="s">
        <v>722</v>
      </c>
      <c r="D14" s="24">
        <f>395+395</f>
        <v>790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43627</v>
      </c>
      <c r="B15" s="6"/>
      <c r="C15" s="7" t="s">
        <v>692</v>
      </c>
      <c r="D15" s="24">
        <v>-873.27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43742</v>
      </c>
      <c r="B16" s="6"/>
      <c r="C16" s="7" t="s">
        <v>698</v>
      </c>
      <c r="D16" s="24">
        <v>100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43759</v>
      </c>
      <c r="B17" s="6"/>
      <c r="C17" s="7" t="s">
        <v>701</v>
      </c>
      <c r="D17" s="24">
        <v>7978.1899999999987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/>
      <c r="B18" s="6"/>
      <c r="C18" s="7"/>
      <c r="D18" s="24"/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/>
      <c r="B19" s="6"/>
      <c r="C19" s="7"/>
      <c r="D19" s="24"/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/>
      <c r="B20" s="6"/>
      <c r="C20" s="7"/>
      <c r="D20" s="24"/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/>
      <c r="B21" s="6"/>
      <c r="C21" s="7"/>
      <c r="D21" s="24"/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/>
      <c r="B22" s="6"/>
      <c r="C22" s="7"/>
      <c r="D22" s="24"/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/>
      <c r="B23" s="6"/>
      <c r="C23" s="7"/>
      <c r="D23" s="24"/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/>
      <c r="B24" s="6"/>
      <c r="C24" s="7"/>
      <c r="D24" s="24"/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5"/>
      <c r="B25" s="6"/>
      <c r="C25" s="7"/>
      <c r="D25" s="24"/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5"/>
      <c r="B26" s="6"/>
      <c r="C26" s="7"/>
      <c r="D26" s="24"/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5"/>
      <c r="B27" s="6"/>
      <c r="C27" s="7"/>
      <c r="D27" s="24"/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/>
      <c r="B28" s="6"/>
      <c r="C28" s="7"/>
      <c r="D28" s="24"/>
      <c r="F28" s="5"/>
      <c r="G28" s="6"/>
      <c r="H28" s="7"/>
      <c r="I28" s="24"/>
      <c r="K28" s="8"/>
      <c r="L28" s="6"/>
      <c r="M28" s="7"/>
      <c r="N28" s="24"/>
    </row>
    <row r="29" spans="1:14" x14ac:dyDescent="0.25">
      <c r="A29" s="5"/>
      <c r="B29" s="6"/>
      <c r="C29" s="7"/>
      <c r="D29" s="24"/>
      <c r="F29" s="5"/>
      <c r="G29" s="6"/>
      <c r="H29" s="7"/>
      <c r="I29" s="24"/>
      <c r="K29" s="8"/>
      <c r="L29" s="6"/>
      <c r="M29" s="7"/>
      <c r="N29" s="24"/>
    </row>
    <row r="30" spans="1:14" x14ac:dyDescent="0.25">
      <c r="A30" s="5"/>
      <c r="B30" s="6"/>
      <c r="C30" s="7"/>
      <c r="D30" s="24"/>
      <c r="F30" s="5"/>
      <c r="G30" s="6"/>
      <c r="H30" s="7"/>
      <c r="I30" s="24"/>
      <c r="K30" s="8"/>
      <c r="L30" s="6"/>
      <c r="M30" s="7"/>
      <c r="N30" s="24"/>
    </row>
    <row r="31" spans="1:14" x14ac:dyDescent="0.25">
      <c r="A31" s="5"/>
      <c r="B31" s="6"/>
      <c r="C31" s="7"/>
      <c r="D31" s="24"/>
      <c r="F31" s="5"/>
      <c r="G31" s="6"/>
      <c r="H31" s="7"/>
      <c r="I31" s="24"/>
      <c r="K31" s="8"/>
      <c r="L31" s="6"/>
      <c r="M31" s="7"/>
      <c r="N31" s="24"/>
    </row>
    <row r="32" spans="1:14" x14ac:dyDescent="0.25">
      <c r="A32" s="5"/>
      <c r="B32" s="6"/>
      <c r="C32" s="7"/>
      <c r="D32" s="24"/>
      <c r="F32" s="5"/>
      <c r="G32" s="6"/>
      <c r="H32" s="7"/>
      <c r="I32" s="24"/>
      <c r="K32" s="8"/>
      <c r="L32" s="6"/>
      <c r="M32" s="7"/>
      <c r="N32" s="24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28" sqref="A28:C28"/>
    </sheetView>
  </sheetViews>
  <sheetFormatPr defaultRowHeight="15" x14ac:dyDescent="0.25"/>
  <cols>
    <col min="1" max="1" width="11.5703125" customWidth="1"/>
    <col min="2" max="2" width="14.140625" customWidth="1"/>
    <col min="3" max="3" width="57.85546875" customWidth="1"/>
    <col min="4" max="4" width="15.28515625" customWidth="1"/>
    <col min="5" max="5" width="5.7109375" customWidth="1"/>
    <col min="6" max="6" width="11.5703125" customWidth="1"/>
    <col min="7" max="7" width="11.85546875" customWidth="1"/>
    <col min="8" max="8" width="46.85546875" customWidth="1"/>
    <col min="9" max="9" width="10.5703125" customWidth="1"/>
    <col min="10" max="10" width="5.7109375" customWidth="1"/>
    <col min="11" max="11" width="11.5703125" customWidth="1"/>
    <col min="12" max="12" width="11.85546875" customWidth="1"/>
    <col min="13" max="13" width="47" customWidth="1"/>
    <col min="14" max="14" width="17.140625" customWidth="1"/>
  </cols>
  <sheetData>
    <row r="1" spans="1:14" ht="18.75" x14ac:dyDescent="0.25">
      <c r="A1" s="220" t="s">
        <v>647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.75" x14ac:dyDescent="0.25">
      <c r="A3" s="220" t="s">
        <v>649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.75" x14ac:dyDescent="0.25">
      <c r="A4" s="220" t="s">
        <v>723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x14ac:dyDescent="0.25">
      <c r="A5" s="231" t="s">
        <v>685</v>
      </c>
      <c r="B5" s="231"/>
      <c r="N5" s="2">
        <f ca="1">NOW()</f>
        <v>43774.453112847223</v>
      </c>
    </row>
    <row r="6" spans="1:14" ht="15" customHeight="1" x14ac:dyDescent="0.25">
      <c r="A6" s="230" t="s">
        <v>686</v>
      </c>
      <c r="B6" s="230"/>
      <c r="C6" s="3" t="s">
        <v>582</v>
      </c>
      <c r="D6" s="24">
        <f>Geral!D12</f>
        <v>8634.9166499999992</v>
      </c>
      <c r="F6" s="211" t="s">
        <v>687</v>
      </c>
      <c r="G6" s="212"/>
      <c r="H6" s="14" t="s">
        <v>582</v>
      </c>
      <c r="I6" s="24">
        <f>Geral!E12</f>
        <v>0</v>
      </c>
      <c r="K6" s="230" t="s">
        <v>688</v>
      </c>
      <c r="L6" s="230"/>
      <c r="M6" s="4" t="s">
        <v>582</v>
      </c>
      <c r="N6" s="24">
        <f>Geral!F12</f>
        <v>0</v>
      </c>
    </row>
    <row r="7" spans="1:14" ht="15" customHeight="1" x14ac:dyDescent="0.25">
      <c r="A7" s="230"/>
      <c r="B7" s="230"/>
      <c r="C7" s="3" t="s">
        <v>583</v>
      </c>
      <c r="D7" s="24">
        <f>SUM(D10:D28)</f>
        <v>8634.92</v>
      </c>
      <c r="F7" s="213"/>
      <c r="G7" s="214"/>
      <c r="H7" s="14" t="s">
        <v>583</v>
      </c>
      <c r="I7" s="24">
        <f>SUM(I10:I27)</f>
        <v>0</v>
      </c>
      <c r="K7" s="230"/>
      <c r="L7" s="230"/>
      <c r="M7" s="4" t="s">
        <v>583</v>
      </c>
      <c r="N7" s="24">
        <f>SUM(N10:N27)</f>
        <v>0</v>
      </c>
    </row>
    <row r="8" spans="1:14" ht="15" customHeight="1" x14ac:dyDescent="0.25">
      <c r="A8" s="230"/>
      <c r="B8" s="230"/>
      <c r="C8" s="3" t="s">
        <v>584</v>
      </c>
      <c r="D8" s="24">
        <f>D6-D7</f>
        <v>-3.3500000008643838E-3</v>
      </c>
      <c r="F8" s="215"/>
      <c r="G8" s="216"/>
      <c r="H8" s="14" t="s">
        <v>584</v>
      </c>
      <c r="I8" s="24">
        <f>I6-I7</f>
        <v>0</v>
      </c>
      <c r="K8" s="230"/>
      <c r="L8" s="230"/>
      <c r="M8" s="4" t="s">
        <v>584</v>
      </c>
      <c r="N8" s="24">
        <f>N6-N7</f>
        <v>0</v>
      </c>
    </row>
    <row r="9" spans="1:14" x14ac:dyDescent="0.25">
      <c r="A9" s="12" t="s">
        <v>586</v>
      </c>
      <c r="B9" s="12" t="s">
        <v>587</v>
      </c>
      <c r="C9" s="12" t="s">
        <v>588</v>
      </c>
      <c r="D9" s="25" t="s">
        <v>5</v>
      </c>
      <c r="F9" s="13" t="s">
        <v>586</v>
      </c>
      <c r="G9" s="13" t="s">
        <v>587</v>
      </c>
      <c r="H9" s="12" t="s">
        <v>588</v>
      </c>
      <c r="I9" s="25" t="s">
        <v>5</v>
      </c>
      <c r="K9" s="12" t="s">
        <v>586</v>
      </c>
      <c r="L9" s="13" t="s">
        <v>587</v>
      </c>
      <c r="M9" s="12" t="s">
        <v>588</v>
      </c>
      <c r="N9" s="25" t="s">
        <v>5</v>
      </c>
    </row>
    <row r="10" spans="1:14" x14ac:dyDescent="0.25">
      <c r="A10" s="5">
        <v>43490</v>
      </c>
      <c r="B10" s="6"/>
      <c r="C10" s="7" t="s">
        <v>724</v>
      </c>
      <c r="D10" s="24">
        <v>100</v>
      </c>
      <c r="F10" s="5"/>
      <c r="G10" s="6"/>
      <c r="H10" s="7"/>
      <c r="I10" s="24"/>
      <c r="K10" s="8"/>
      <c r="L10" s="6"/>
      <c r="M10" s="7"/>
      <c r="N10" s="24"/>
    </row>
    <row r="11" spans="1:14" x14ac:dyDescent="0.25">
      <c r="A11" s="5">
        <v>43517</v>
      </c>
      <c r="B11" s="6"/>
      <c r="C11" s="7" t="s">
        <v>725</v>
      </c>
      <c r="D11" s="24">
        <v>400</v>
      </c>
      <c r="F11" s="5"/>
      <c r="G11" s="6"/>
      <c r="H11" s="7"/>
      <c r="I11" s="24"/>
      <c r="K11" s="8"/>
      <c r="L11" s="6"/>
      <c r="M11" s="7"/>
      <c r="N11" s="24"/>
    </row>
    <row r="12" spans="1:14" x14ac:dyDescent="0.25">
      <c r="A12" s="5">
        <v>43544</v>
      </c>
      <c r="B12" s="6"/>
      <c r="C12" s="7" t="s">
        <v>726</v>
      </c>
      <c r="D12" s="24">
        <v>500</v>
      </c>
      <c r="F12" s="5"/>
      <c r="G12" s="6"/>
      <c r="H12" s="7"/>
      <c r="I12" s="24"/>
      <c r="K12" s="8"/>
      <c r="L12" s="6"/>
      <c r="M12" s="7"/>
      <c r="N12" s="24"/>
    </row>
    <row r="13" spans="1:14" x14ac:dyDescent="0.25">
      <c r="A13" s="5">
        <v>43578</v>
      </c>
      <c r="B13" s="6"/>
      <c r="C13" s="7" t="s">
        <v>727</v>
      </c>
      <c r="D13" s="24">
        <v>400</v>
      </c>
      <c r="F13" s="5"/>
      <c r="G13" s="9"/>
      <c r="H13" s="10"/>
      <c r="I13" s="23"/>
      <c r="K13" s="8"/>
      <c r="L13" s="6"/>
      <c r="M13" s="7"/>
      <c r="N13" s="24"/>
    </row>
    <row r="14" spans="1:14" x14ac:dyDescent="0.25">
      <c r="A14" s="5">
        <v>43608</v>
      </c>
      <c r="B14" s="6"/>
      <c r="C14" s="7" t="s">
        <v>728</v>
      </c>
      <c r="D14" s="24">
        <f>1000+1200+1200+1200</f>
        <v>4600</v>
      </c>
      <c r="F14" s="5"/>
      <c r="G14" s="6"/>
      <c r="H14" s="7"/>
      <c r="I14" s="24"/>
      <c r="K14" s="8"/>
      <c r="L14" s="6"/>
      <c r="M14" s="7"/>
      <c r="N14" s="24"/>
    </row>
    <row r="15" spans="1:14" x14ac:dyDescent="0.25">
      <c r="A15" s="5">
        <v>43609</v>
      </c>
      <c r="B15" s="6"/>
      <c r="C15" s="7" t="s">
        <v>729</v>
      </c>
      <c r="D15" s="24">
        <v>400</v>
      </c>
      <c r="F15" s="5"/>
      <c r="G15" s="6"/>
      <c r="H15" s="7"/>
      <c r="I15" s="24"/>
      <c r="K15" s="8"/>
      <c r="L15" s="6"/>
      <c r="M15" s="7"/>
      <c r="N15" s="24"/>
    </row>
    <row r="16" spans="1:14" x14ac:dyDescent="0.25">
      <c r="A16" s="5">
        <v>43614</v>
      </c>
      <c r="B16" s="6"/>
      <c r="C16" s="10" t="s">
        <v>730</v>
      </c>
      <c r="D16" s="24">
        <v>-1000</v>
      </c>
      <c r="F16" s="5"/>
      <c r="G16" s="6"/>
      <c r="H16" s="7"/>
      <c r="I16" s="24"/>
      <c r="K16" s="8"/>
      <c r="L16" s="6"/>
      <c r="M16" s="7"/>
      <c r="N16" s="24"/>
    </row>
    <row r="17" spans="1:14" x14ac:dyDescent="0.25">
      <c r="A17" s="5">
        <v>43627</v>
      </c>
      <c r="B17" s="6"/>
      <c r="C17" s="7" t="s">
        <v>692</v>
      </c>
      <c r="D17" s="24">
        <v>-578.36</v>
      </c>
      <c r="F17" s="5"/>
      <c r="G17" s="6"/>
      <c r="H17" s="7"/>
      <c r="I17" s="24"/>
      <c r="K17" s="8"/>
      <c r="L17" s="6"/>
      <c r="M17" s="7"/>
      <c r="N17" s="24"/>
    </row>
    <row r="18" spans="1:14" x14ac:dyDescent="0.25">
      <c r="A18" s="11">
        <v>43640</v>
      </c>
      <c r="B18" s="6"/>
      <c r="C18" s="7" t="s">
        <v>706</v>
      </c>
      <c r="D18" s="24">
        <v>400</v>
      </c>
      <c r="F18" s="5"/>
      <c r="G18" s="6"/>
      <c r="H18" s="7"/>
      <c r="I18" s="24"/>
      <c r="K18" s="8"/>
      <c r="L18" s="6"/>
      <c r="M18" s="7"/>
      <c r="N18" s="24"/>
    </row>
    <row r="19" spans="1:14" x14ac:dyDescent="0.25">
      <c r="A19" s="5">
        <v>43654</v>
      </c>
      <c r="B19" s="95">
        <v>8753</v>
      </c>
      <c r="C19" s="7" t="s">
        <v>705</v>
      </c>
      <c r="D19" s="24">
        <v>10.41</v>
      </c>
      <c r="F19" s="5"/>
      <c r="G19" s="6"/>
      <c r="H19" s="7"/>
      <c r="I19" s="24"/>
      <c r="K19" s="8"/>
      <c r="L19" s="6"/>
      <c r="M19" s="7"/>
      <c r="N19" s="24"/>
    </row>
    <row r="20" spans="1:14" x14ac:dyDescent="0.25">
      <c r="A20" s="5">
        <v>43654</v>
      </c>
      <c r="B20" s="6"/>
      <c r="C20" s="7" t="s">
        <v>731</v>
      </c>
      <c r="D20" s="24">
        <v>-1000</v>
      </c>
      <c r="F20" s="5"/>
      <c r="G20" s="6"/>
      <c r="H20" s="7"/>
      <c r="I20" s="24"/>
      <c r="K20" s="8"/>
      <c r="L20" s="6"/>
      <c r="M20" s="7"/>
      <c r="N20" s="24"/>
    </row>
    <row r="21" spans="1:14" x14ac:dyDescent="0.25">
      <c r="A21" s="5">
        <v>43655</v>
      </c>
      <c r="B21" s="95">
        <v>8840</v>
      </c>
      <c r="C21" s="7" t="s">
        <v>705</v>
      </c>
      <c r="D21" s="24">
        <v>10.42</v>
      </c>
      <c r="F21" s="5"/>
      <c r="G21" s="6"/>
      <c r="H21" s="7"/>
      <c r="I21" s="24"/>
      <c r="K21" s="8"/>
      <c r="L21" s="6"/>
      <c r="M21" s="7"/>
      <c r="N21" s="24"/>
    </row>
    <row r="22" spans="1:14" x14ac:dyDescent="0.25">
      <c r="A22" s="5">
        <v>43655</v>
      </c>
      <c r="B22" s="95">
        <v>8841</v>
      </c>
      <c r="C22" s="7" t="s">
        <v>705</v>
      </c>
      <c r="D22" s="24">
        <v>10.42</v>
      </c>
      <c r="F22" s="5"/>
      <c r="G22" s="6"/>
      <c r="H22" s="7"/>
      <c r="I22" s="24"/>
      <c r="K22" s="8"/>
      <c r="L22" s="6"/>
      <c r="M22" s="7"/>
      <c r="N22" s="24"/>
    </row>
    <row r="23" spans="1:14" x14ac:dyDescent="0.25">
      <c r="A23" s="5">
        <v>43657</v>
      </c>
      <c r="B23" s="95">
        <v>8951</v>
      </c>
      <c r="C23" s="7" t="s">
        <v>705</v>
      </c>
      <c r="D23" s="24">
        <v>216</v>
      </c>
      <c r="F23" s="5"/>
      <c r="G23" s="6"/>
      <c r="H23" s="7"/>
      <c r="I23" s="24"/>
      <c r="K23" s="8"/>
      <c r="L23" s="6"/>
      <c r="M23" s="7"/>
      <c r="N23" s="24"/>
    </row>
    <row r="24" spans="1:14" x14ac:dyDescent="0.25">
      <c r="A24" s="5">
        <v>43661</v>
      </c>
      <c r="B24" s="6"/>
      <c r="C24" s="7" t="s">
        <v>732</v>
      </c>
      <c r="D24" s="24">
        <v>2000</v>
      </c>
      <c r="F24" s="5"/>
      <c r="G24" s="6"/>
      <c r="H24" s="7"/>
      <c r="I24" s="24"/>
      <c r="K24" s="8"/>
      <c r="L24" s="6"/>
      <c r="M24" s="7"/>
      <c r="N24" s="24"/>
    </row>
    <row r="25" spans="1:14" x14ac:dyDescent="0.25">
      <c r="A25" s="11">
        <v>43662</v>
      </c>
      <c r="B25" s="6"/>
      <c r="C25" s="7" t="s">
        <v>708</v>
      </c>
      <c r="D25" s="24">
        <v>400</v>
      </c>
      <c r="F25" s="5"/>
      <c r="G25" s="6"/>
      <c r="H25" s="7"/>
      <c r="I25" s="24"/>
      <c r="K25" s="8"/>
      <c r="L25" s="6"/>
      <c r="M25" s="7"/>
      <c r="N25" s="24"/>
    </row>
    <row r="26" spans="1:14" x14ac:dyDescent="0.25">
      <c r="A26" s="11">
        <v>43699</v>
      </c>
      <c r="B26" s="6"/>
      <c r="C26" s="7" t="s">
        <v>733</v>
      </c>
      <c r="D26" s="24">
        <v>640</v>
      </c>
      <c r="F26" s="5"/>
      <c r="G26" s="6"/>
      <c r="H26" s="7"/>
      <c r="I26" s="24"/>
      <c r="K26" s="8"/>
      <c r="L26" s="6"/>
      <c r="M26" s="7"/>
      <c r="N26" s="24"/>
    </row>
    <row r="27" spans="1:14" x14ac:dyDescent="0.25">
      <c r="A27" s="11">
        <v>43732</v>
      </c>
      <c r="B27" s="6"/>
      <c r="C27" s="7" t="s">
        <v>734</v>
      </c>
      <c r="D27" s="24">
        <v>400</v>
      </c>
      <c r="F27" s="5"/>
      <c r="G27" s="6"/>
      <c r="H27" s="7"/>
      <c r="I27" s="24"/>
      <c r="K27" s="8"/>
      <c r="L27" s="6"/>
      <c r="M27" s="7"/>
      <c r="N27" s="24"/>
    </row>
    <row r="28" spans="1:14" x14ac:dyDescent="0.25">
      <c r="A28" s="5">
        <v>43759</v>
      </c>
      <c r="B28" s="6"/>
      <c r="C28" s="7" t="s">
        <v>701</v>
      </c>
      <c r="D28" s="24">
        <v>726.02999999999986</v>
      </c>
      <c r="F28" s="31"/>
      <c r="G28" s="32"/>
      <c r="H28" s="33"/>
      <c r="I28" s="41"/>
      <c r="K28" s="35"/>
      <c r="L28" s="32"/>
      <c r="M28" s="33"/>
      <c r="N28" s="41"/>
    </row>
    <row r="29" spans="1:14" x14ac:dyDescent="0.25">
      <c r="A29" s="153"/>
      <c r="B29" s="32"/>
      <c r="C29" s="33"/>
      <c r="D29" s="41"/>
      <c r="F29" s="31"/>
      <c r="G29" s="32"/>
      <c r="H29" s="33"/>
      <c r="I29" s="41"/>
      <c r="K29" s="35"/>
      <c r="L29" s="32"/>
      <c r="M29" s="33"/>
      <c r="N29" s="41"/>
    </row>
    <row r="30" spans="1:14" x14ac:dyDescent="0.25">
      <c r="D30" s="1"/>
    </row>
    <row r="31" spans="1:14" x14ac:dyDescent="0.25">
      <c r="B31" s="44"/>
      <c r="C31" s="45" t="s">
        <v>702</v>
      </c>
      <c r="D31" s="23">
        <v>5500</v>
      </c>
    </row>
    <row r="32" spans="1:14" x14ac:dyDescent="0.25">
      <c r="B32" s="5">
        <v>43654</v>
      </c>
      <c r="C32" s="10" t="s">
        <v>735</v>
      </c>
      <c r="D32" s="23">
        <v>-1000</v>
      </c>
    </row>
    <row r="33" spans="2:4" x14ac:dyDescent="0.25">
      <c r="B33" s="44"/>
      <c r="C33" s="10"/>
      <c r="D33" s="23"/>
    </row>
    <row r="34" spans="2:4" x14ac:dyDescent="0.25">
      <c r="B34" s="44"/>
      <c r="C34" s="10"/>
      <c r="D34" s="23"/>
    </row>
    <row r="35" spans="2:4" x14ac:dyDescent="0.25">
      <c r="B35" s="44"/>
      <c r="C35" s="10" t="s">
        <v>703</v>
      </c>
      <c r="D35" s="48">
        <f>SUM(D31:D34)</f>
        <v>4500</v>
      </c>
    </row>
    <row r="36" spans="2:4" x14ac:dyDescent="0.25">
      <c r="B36" s="50"/>
      <c r="D36" s="1"/>
    </row>
    <row r="37" spans="2:4" x14ac:dyDescent="0.25">
      <c r="B37" s="44"/>
      <c r="C37" s="45" t="s">
        <v>715</v>
      </c>
      <c r="D37" s="23">
        <v>1784.18</v>
      </c>
    </row>
    <row r="38" spans="2:4" x14ac:dyDescent="0.25">
      <c r="B38" s="94">
        <v>2705</v>
      </c>
      <c r="C38" s="10" t="s">
        <v>736</v>
      </c>
      <c r="D38" s="23">
        <v>-355</v>
      </c>
    </row>
    <row r="39" spans="2:4" x14ac:dyDescent="0.25">
      <c r="B39" s="94">
        <v>2905</v>
      </c>
      <c r="C39" s="10" t="s">
        <v>737</v>
      </c>
      <c r="D39" s="23">
        <v>-1000</v>
      </c>
    </row>
    <row r="40" spans="2:4" x14ac:dyDescent="0.25">
      <c r="B40" s="94">
        <v>2609</v>
      </c>
      <c r="C40" s="10" t="s">
        <v>738</v>
      </c>
      <c r="D40" s="23">
        <v>-35</v>
      </c>
    </row>
    <row r="41" spans="2:4" x14ac:dyDescent="0.25">
      <c r="B41" s="68"/>
      <c r="C41" s="10"/>
      <c r="D41" s="23"/>
    </row>
    <row r="42" spans="2:4" x14ac:dyDescent="0.25">
      <c r="B42" s="47"/>
      <c r="C42" s="10"/>
      <c r="D42" s="23"/>
    </row>
    <row r="43" spans="2:4" x14ac:dyDescent="0.25">
      <c r="B43" s="44"/>
      <c r="C43" s="10" t="s">
        <v>703</v>
      </c>
      <c r="D43" s="48">
        <f>SUM(D37:D42)</f>
        <v>394.18000000000006</v>
      </c>
    </row>
    <row r="44" spans="2:4" x14ac:dyDescent="0.25">
      <c r="D44" s="1"/>
    </row>
  </sheetData>
  <mergeCells count="8">
    <mergeCell ref="A6:B8"/>
    <mergeCell ref="F6:G8"/>
    <mergeCell ref="K6:L8"/>
    <mergeCell ref="A1:N1"/>
    <mergeCell ref="A2:N2"/>
    <mergeCell ref="A3:N3"/>
    <mergeCell ref="A4:N4"/>
    <mergeCell ref="A5:B5"/>
  </mergeCells>
  <hyperlinks>
    <hyperlink ref="A5:B5" location="Geral!A1" display="Voltar (Planilha Geral)"/>
  </hyperlink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5729590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1</vt:i4>
      </vt:variant>
    </vt:vector>
  </HeadingPairs>
  <TitlesOfParts>
    <vt:vector size="41" baseType="lpstr">
      <vt:lpstr>Dispensa</vt:lpstr>
      <vt:lpstr>RP</vt:lpstr>
      <vt:lpstr>Empenhos</vt:lpstr>
      <vt:lpstr>Diárias</vt:lpstr>
      <vt:lpstr>Geral</vt:lpstr>
      <vt:lpstr>C. Biologia</vt:lpstr>
      <vt:lpstr>C. Estatística</vt:lpstr>
      <vt:lpstr>C. Física</vt:lpstr>
      <vt:lpstr>C. Geografia</vt:lpstr>
      <vt:lpstr>C. Matemática</vt:lpstr>
      <vt:lpstr>C. Meteorologia</vt:lpstr>
      <vt:lpstr>C. Química</vt:lpstr>
      <vt:lpstr>C. Química Industrial</vt:lpstr>
      <vt:lpstr>C. Tec. Processos Q.</vt:lpstr>
      <vt:lpstr>PPG Agrobiologia</vt:lpstr>
      <vt:lpstr>PPG Bioquímica</vt:lpstr>
      <vt:lpstr>PPG Biodiversidade</vt:lpstr>
      <vt:lpstr>PPG Educação Mat.</vt:lpstr>
      <vt:lpstr>PPG Física</vt:lpstr>
      <vt:lpstr>PPG Geografia</vt:lpstr>
      <vt:lpstr>PPG Matemática</vt:lpstr>
      <vt:lpstr>PPG Meteorologia</vt:lpstr>
      <vt:lpstr>PPG Química</vt:lpstr>
      <vt:lpstr>PPG Química da Vida </vt:lpstr>
      <vt:lpstr>PPG Estatística</vt:lpstr>
      <vt:lpstr>PROFMAT</vt:lpstr>
      <vt:lpstr>D. Biologia</vt:lpstr>
      <vt:lpstr>D. Bioquímica</vt:lpstr>
      <vt:lpstr>D. Estatística</vt:lpstr>
      <vt:lpstr>D. Ecologia</vt:lpstr>
      <vt:lpstr>D. Física</vt:lpstr>
      <vt:lpstr>D. Geociências</vt:lpstr>
      <vt:lpstr>D. Matemática</vt:lpstr>
      <vt:lpstr>D. Química</vt:lpstr>
      <vt:lpstr>Diretórios</vt:lpstr>
      <vt:lpstr>Direção</vt:lpstr>
      <vt:lpstr>CAPPA</vt:lpstr>
      <vt:lpstr>Biblioteca</vt:lpstr>
      <vt:lpstr>Jardim Botânico</vt:lpstr>
      <vt:lpstr>Revista</vt:lpstr>
      <vt:lpstr>'D. Geociências'!Area_de_impressao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Sara</cp:lastModifiedBy>
  <cp:revision>0</cp:revision>
  <cp:lastPrinted>2019-09-23T21:49:34Z</cp:lastPrinted>
  <dcterms:created xsi:type="dcterms:W3CDTF">2018-01-21T09:37:00Z</dcterms:created>
  <dcterms:modified xsi:type="dcterms:W3CDTF">2019-11-05T13:52:34Z</dcterms:modified>
</cp:coreProperties>
</file>